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ME" sheetId="1" state="visible" r:id="rId3"/>
    <sheet name="Inputs" sheetId="2" state="visible" r:id="rId4"/>
    <sheet name="Model" sheetId="3" state="visible" r:id="rId5"/>
    <sheet name="Scenarios" sheetId="4" state="visible" r:id="rId6"/>
    <sheet name="Valuation" sheetId="5" state="visible" r:id="rId7"/>
    <sheet name="Sensitivity" sheetId="6" state="visible" r:id="rId8"/>
    <sheet name="Consensus" sheetId="7" state="visible" r:id="rId9"/>
    <sheet name="Rating" sheetId="8" state="visible" r:id="rId10"/>
    <sheet name="Quarter" sheetId="9" state="visible" r:id="rId11"/>
    <sheet name="Revision" sheetId="10" state="visible" r:id="rId12"/>
    <sheet name="TrackRecord" sheetId="11" state="visible" r:id="rId13"/>
    <sheet name="BuySide" sheetId="12" state="visible" r:id="rId14"/>
    <sheet name="Text_Figures" sheetId="13" state="visible" r:id="rId15"/>
    <sheet name="Checks" sheetId="14" state="visible" r:id="rId1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<sst xmlns="http://schemas.openxmlformats.org/spreadsheetml/2006/main" count="4217" uniqueCount="1574">
  <si>
    <t xml:space="preserve">Halvorsen Coverage Model</t>
  </si>
  <si>
    <t xml:space="preserve">Companion workbook to The Equity Research Analyst, by Julian R. Sterling. Halvorsen Flow Technologies, its peers, the brokers and every figure are fictional.</t>
  </si>
  <si>
    <t xml:space="preserve">What this workbook is</t>
  </si>
  <si>
    <t xml:space="preserve">The whole worked case of the book in one file, with live formulas: the three-segment model, the scenarios, the sensitivities, the consensus, the four valuation methods and the DCF control, the rating grid, the Q1 quarter, the revision, the track record and the buy-side sizing.</t>
  </si>
  <si>
    <t xml:space="preserve">How to read it</t>
  </si>
  <si>
    <t xml:space="preserve">Blue type on a pale yellow fill is an input: change it and everything downstream moves. Black type is a formula. There are no macros, no links to other files, no circular references and nothing is locked.</t>
  </si>
  <si>
    <t xml:space="preserve">Sheets</t>
  </si>
  <si>
    <t xml:space="preserve">Inputs: every hard-coded number (history, the base, revised, bear and bull drivers, market data, multiples, WACC inputs, brokers, peers, Q1 data, the twelve past calls).</t>
  </si>
  <si>
    <t xml:space="preserve">Model: the base case, FY2023A to FY2028E, from segment volume and price to EPS, free cash flow and net debt.</t>
  </si>
  <si>
    <t xml:space="preserve">Scenarios: bear and bull recomputed from their own drivers; values, probabilities, expected value.</t>
  </si>
  <si>
    <t xml:space="preserve">Sensitivity: FY2027E EPS under each shock (each shock is a full copy of the model), the price target grid and the DCF grid.</t>
  </si>
  <si>
    <t xml:space="preserve">Consensus: nine brokers, the stale filter, population standard deviations, the analyst's gap, z-score and rank, and the bridge from the reconstructed consensus.</t>
  </si>
  <si>
    <t xml:space="preserve">Valuation: P/E, EV/EBITDA, sum of the parts, the DCF with its two extension years, the roll-forward, the reverse DCF (implied growth in closed form; implied WACC by bisection, with its check).</t>
  </si>
  <si>
    <t xml:space="preserve">Rating: the total return, the grid, the Hold line and the coverage distribution.</t>
  </si>
  <si>
    <t xml:space="preserve">Quarter: the Q1 estimate from seasonality, the actual, the variance, the EPS bridge, year on year, consensus and guidance.</t>
  </si>
  <si>
    <t xml:space="preserve">Revision: the revised model, the new target, the re-rating and the new rating.</t>
  </si>
  <si>
    <t xml:space="preserve">TrackRecord: twelve calls scored with the book's rules. BuySide: the position size.</t>
  </si>
  <si>
    <t xml:space="preserve">Text_Figures: the numbers the chapters compute in their own text (differences, ratios, factors such as 1 + cost of equity), each a live formula on the cells above.</t>
  </si>
  <si>
    <t xml:space="preserve">Checks: every figure the book prints beside the live cell that computes it. The overall status at the top reads PASS only if every row passes.</t>
  </si>
  <si>
    <t xml:space="preserve">Inputs: every hard-coded number of the Halvorsen case</t>
  </si>
  <si>
    <t xml:space="preserve">Blue type on yellow = input you may change. Black = formula. All figures fictional, $m unless stated.</t>
  </si>
  <si>
    <t xml:space="preserve">Reported history and base case drivers</t>
  </si>
  <si>
    <t xml:space="preserve">FY2022A</t>
  </si>
  <si>
    <t xml:space="preserve">FY2023A</t>
  </si>
  <si>
    <t xml:space="preserve">FY2024A</t>
  </si>
  <si>
    <t xml:space="preserve">FY2025A</t>
  </si>
  <si>
    <t xml:space="preserve">FY2026E</t>
  </si>
  <si>
    <t xml:space="preserve">FY2027E</t>
  </si>
  <si>
    <t xml:space="preserve">FY2028E</t>
  </si>
  <si>
    <t xml:space="preserve">Flow Control: revenue (reported)</t>
  </si>
  <si>
    <t xml:space="preserve">Measurement &amp; Analytics: revenue (reported)</t>
  </si>
  <si>
    <t xml:space="preserve">Aftermarket Services: revenue (reported)</t>
  </si>
  <si>
    <t xml:space="preserve">Flow Control: volume growth</t>
  </si>
  <si>
    <t xml:space="preserve">Measurement &amp; Analytics: volume growth</t>
  </si>
  <si>
    <t xml:space="preserve">Aftermarket Services: volume growth</t>
  </si>
  <si>
    <t xml:space="preserve">Flow Control: price</t>
  </si>
  <si>
    <t xml:space="preserve">Measurement &amp; Analytics: price</t>
  </si>
  <si>
    <t xml:space="preserve">Aftermarket Services: price</t>
  </si>
  <si>
    <t xml:space="preserve">Flow Control: segment margin</t>
  </si>
  <si>
    <t xml:space="preserve">Measurement &amp; Analytics: segment margin</t>
  </si>
  <si>
    <t xml:space="preserve">Aftermarket Services: segment margin</t>
  </si>
  <si>
    <t xml:space="preserve">Corporate costs</t>
  </si>
  <si>
    <t xml:space="preserve">Amortization of acquired intangibles</t>
  </si>
  <si>
    <t xml:space="preserve">Restructuring charges</t>
  </si>
  <si>
    <t xml:space="preserve">Net interest expense (reported; forecast from net debt)</t>
  </si>
  <si>
    <t xml:space="preserve">Diluted shares (m)</t>
  </si>
  <si>
    <t xml:space="preserve">Dividend per share ($)</t>
  </si>
  <si>
    <t xml:space="preserve">Net debt at year end (reported)</t>
  </si>
  <si>
    <t xml:space="preserve">Share buybacks</t>
  </si>
  <si>
    <t xml:space="preserve">Forecast interest is not an input: the model charges the rate below on opening net debt (no circularity). Historical net debt is reported, not modelled.</t>
  </si>
  <si>
    <t xml:space="preserve">Revised drivers after Q1 (changed cells in blue)</t>
  </si>
  <si>
    <t xml:space="preserve">Bear case drivers (changed cells in blue)</t>
  </si>
  <si>
    <t xml:space="preserve">Bull case drivers (changed cells in blue)</t>
  </si>
  <si>
    <t xml:space="preserve">Common assumptions</t>
  </si>
  <si>
    <t xml:space="preserve">Tax rate (effective and cash)</t>
  </si>
  <si>
    <t xml:space="preserve">Depreciation, % of revenue</t>
  </si>
  <si>
    <t xml:space="preserve">Capex, % of revenue</t>
  </si>
  <si>
    <t xml:space="preserve">Net working capital, % of revenue</t>
  </si>
  <si>
    <t xml:space="preserve">Interest rate on opening net debt</t>
  </si>
  <si>
    <t xml:space="preserve">Market, multiples and rating grid</t>
  </si>
  <si>
    <t xml:space="preserve">Share price at initiation</t>
  </si>
  <si>
    <t xml:space="preserve">$</t>
  </si>
  <si>
    <t xml:space="preserve">Target P/E on FY2027E adjusted EPS</t>
  </si>
  <si>
    <t xml:space="preserve">Target EV/adjusted EBITDA FY2027E</t>
  </si>
  <si>
    <t xml:space="preserve">SOTP multiple (EV/EBIT): Flow Control</t>
  </si>
  <si>
    <t xml:space="preserve">SOTP multiple (EV/EBIT): Measurement &amp; Analytics</t>
  </si>
  <si>
    <t xml:space="preserve">SOTP multiple (EV/EBIT): Aftermarket Services</t>
  </si>
  <si>
    <t xml:space="preserve">SOTP multiple on corporate costs</t>
  </si>
  <si>
    <t xml:space="preserve">Rating grid: Buy if expected total return at least</t>
  </si>
  <si>
    <t xml:space="preserve">Rating grid: Sell if expected total return at most</t>
  </si>
  <si>
    <t xml:space="preserve">Target P/E after the Q1 revision</t>
  </si>
  <si>
    <t xml:space="preserve">DCF (control)</t>
  </si>
  <si>
    <t xml:space="preserve">Cost of equity</t>
  </si>
  <si>
    <t xml:space="preserve">Pre-tax cost of debt</t>
  </si>
  <si>
    <t xml:space="preserve">Debt weight</t>
  </si>
  <si>
    <t xml:space="preserve">Terminal growth</t>
  </si>
  <si>
    <t xml:space="preserve">Current diluted shares (m)</t>
  </si>
  <si>
    <t xml:space="preserve">Net debt at end FY2025A</t>
  </si>
  <si>
    <t xml:space="preserve">$m</t>
  </si>
  <si>
    <t xml:space="preserve">FY2029E revenue growth (extension year)</t>
  </si>
  <si>
    <t xml:space="preserve">FY2029E corporate costs</t>
  </si>
  <si>
    <t xml:space="preserve">FY2029E amortization</t>
  </si>
  <si>
    <t xml:space="preserve">FY2030E revenue growth (extension year)</t>
  </si>
  <si>
    <t xml:space="preserve">FY2030E corporate costs</t>
  </si>
  <si>
    <t xml:space="preserve">FY2030E amortization</t>
  </si>
  <si>
    <t xml:space="preserve">Scenarios: multiple and probability</t>
  </si>
  <si>
    <t xml:space="preserve">Bear case: P/E on FY2027E</t>
  </si>
  <si>
    <t xml:space="preserve">Bear case: probability</t>
  </si>
  <si>
    <t xml:space="preserve">Base case: P/E on FY2027E</t>
  </si>
  <si>
    <t xml:space="preserve">Base case: probability</t>
  </si>
  <si>
    <t xml:space="preserve">Bull case: P/E on FY2027E</t>
  </si>
  <si>
    <t xml:space="preserve">Bull case: probability</t>
  </si>
  <si>
    <t xml:space="preserve">Peers (fictional, FY2027E consensus)</t>
  </si>
  <si>
    <t xml:space="preserve">P/E</t>
  </si>
  <si>
    <t xml:space="preserve">EV/EBITDA</t>
  </si>
  <si>
    <t xml:space="preserve">Growth</t>
  </si>
  <si>
    <t xml:space="preserve">EBIT margin</t>
  </si>
  <si>
    <t xml:space="preserve">Peer 1 (valves and pumps)</t>
  </si>
  <si>
    <t xml:space="preserve">Peer 2 (process instruments)</t>
  </si>
  <si>
    <t xml:space="preserve">Peer 3 (diversified flow)</t>
  </si>
  <si>
    <t xml:space="preserve">Peer 4 (water analytics)</t>
  </si>
  <si>
    <t xml:space="preserve">Peer 5 (industrial services)</t>
  </si>
  <si>
    <t xml:space="preserve">Peer 6 (pumps, smaller cap)</t>
  </si>
  <si>
    <t xml:space="preserve">Consensus: nine brokers (fictional)</t>
  </si>
  <si>
    <t xml:space="preserve">FY2026E EPS</t>
  </si>
  <si>
    <t xml:space="preserve">FY2027E EPS</t>
  </si>
  <si>
    <t xml:space="preserve">FY2026E rev.</t>
  </si>
  <si>
    <t xml:space="preserve">Age (days)</t>
  </si>
  <si>
    <t xml:space="preserve">Broker A</t>
  </si>
  <si>
    <t xml:space="preserve">Broker B</t>
  </si>
  <si>
    <t xml:space="preserve">Broker C</t>
  </si>
  <si>
    <t xml:space="preserve">Broker D</t>
  </si>
  <si>
    <t xml:space="preserve">Broker E</t>
  </si>
  <si>
    <t xml:space="preserve">Broker F</t>
  </si>
  <si>
    <t xml:space="preserve">Broker G</t>
  </si>
  <si>
    <t xml:space="preserve">Broker H</t>
  </si>
  <si>
    <t xml:space="preserve">Broker I</t>
  </si>
  <si>
    <t xml:space="preserve">Stale if older than (days)</t>
  </si>
  <si>
    <t xml:space="preserve">Consensus by segment, FY2027E (reconstructed from the published notes)</t>
  </si>
  <si>
    <t xml:space="preserve">Consensus rev_FC</t>
  </si>
  <si>
    <t xml:space="preserve">Consensus rev_MA</t>
  </si>
  <si>
    <t xml:space="preserve">Consensus rev_AS</t>
  </si>
  <si>
    <t xml:space="preserve">Consensus m_FC</t>
  </si>
  <si>
    <t xml:space="preserve">Consensus m_MA</t>
  </si>
  <si>
    <t xml:space="preserve">Consensus m_AS</t>
  </si>
  <si>
    <t xml:space="preserve">Consensus corp</t>
  </si>
  <si>
    <t xml:space="preserve">Consensus amort</t>
  </si>
  <si>
    <t xml:space="preserve">Consensus interest</t>
  </si>
  <si>
    <t xml:space="preserve">Consensus shares</t>
  </si>
  <si>
    <t xml:space="preserve">Q1 FY2026: seasonality assumptions for the estimate</t>
  </si>
  <si>
    <t xml:space="preserve">Q1 share of annual revenue: Flow Control</t>
  </si>
  <si>
    <t xml:space="preserve">Q1 share of annual revenue: Measurement &amp; Analytics</t>
  </si>
  <si>
    <t xml:space="preserve">Q1 share of annual revenue: Aftermarket Services</t>
  </si>
  <si>
    <t xml:space="preserve">Q1 margin minus annual margin: Flow Control</t>
  </si>
  <si>
    <t xml:space="preserve">Q1 margin minus annual margin: Measurement &amp; Analytics</t>
  </si>
  <si>
    <t xml:space="preserve">Q1 margin minus annual margin: Aftermarket Services</t>
  </si>
  <si>
    <t xml:space="preserve">Q1 share of annual corporate costs</t>
  </si>
  <si>
    <t xml:space="preserve">Q1 share of annual amortization</t>
  </si>
  <si>
    <t xml:space="preserve">Q1 share of annual interest</t>
  </si>
  <si>
    <t xml:space="preserve">Q1 restructuring estimate</t>
  </si>
  <si>
    <t xml:space="preserve">Q1 diluted shares estimate (m)</t>
  </si>
  <si>
    <t xml:space="preserve">Q1 FY2026: reported (actual)</t>
  </si>
  <si>
    <t xml:space="preserve">Actual rev_FC</t>
  </si>
  <si>
    <t xml:space="preserve">Actual rev_MA</t>
  </si>
  <si>
    <t xml:space="preserve">Actual rev_AS</t>
  </si>
  <si>
    <t xml:space="preserve">Actual m_FC</t>
  </si>
  <si>
    <t xml:space="preserve">Actual m_MA</t>
  </si>
  <si>
    <t xml:space="preserve">Actual m_AS</t>
  </si>
  <si>
    <t xml:space="preserve">Actual corp</t>
  </si>
  <si>
    <t xml:space="preserve">Actual amort</t>
  </si>
  <si>
    <t xml:space="preserve">Actual restr</t>
  </si>
  <si>
    <t xml:space="preserve">Actual interest</t>
  </si>
  <si>
    <t xml:space="preserve">Actual shares</t>
  </si>
  <si>
    <t xml:space="preserve">Actual tax_rate</t>
  </si>
  <si>
    <t xml:space="preserve">Q1 consensus adjusted EPS</t>
  </si>
  <si>
    <t xml:space="preserve">Q1 consensus revenue</t>
  </si>
  <si>
    <t xml:space="preserve">Prior-year Q1 (Q1 FY2025) rev_FC</t>
  </si>
  <si>
    <t xml:space="preserve">Prior-year Q1 (Q1 FY2025) rev_MA</t>
  </si>
  <si>
    <t xml:space="preserve">Prior-year Q1 (Q1 FY2025) rev_AS</t>
  </si>
  <si>
    <t xml:space="preserve">Prior-year Q1 (Q1 FY2025) adj_eps</t>
  </si>
  <si>
    <t xml:space="preserve">FC price in Q1 disclosed by the company</t>
  </si>
  <si>
    <t xml:space="preserve">Old FY2026 guidance, adjusted EPS low</t>
  </si>
  <si>
    <t xml:space="preserve">Old FY2026 guidance, adjusted EPS high</t>
  </si>
  <si>
    <t xml:space="preserve">New FY2026 guidance, adjusted EPS low</t>
  </si>
  <si>
    <t xml:space="preserve">New FY2026 guidance, adjusted EPS high</t>
  </si>
  <si>
    <t xml:space="preserve">MA orders, organic growth</t>
  </si>
  <si>
    <t xml:space="preserve">MA book-to-bill</t>
  </si>
  <si>
    <t xml:space="preserve">Share price the evening before results</t>
  </si>
  <si>
    <t xml:space="preserve">Share price at the close of results day</t>
  </si>
  <si>
    <t xml:space="preserve">Sector index move on results day</t>
  </si>
  <si>
    <t xml:space="preserve">Track record: twelve past calls (fictional)</t>
  </si>
  <si>
    <t xml:space="preserve">Rating</t>
  </si>
  <si>
    <t xml:space="preserve">Start price</t>
  </si>
  <si>
    <t xml:space="preserve">End price</t>
  </si>
  <si>
    <t xml:space="preserve">Dividends</t>
  </si>
  <si>
    <t xml:space="preserve">Benchmark</t>
  </si>
  <si>
    <t xml:space="preserve">Stock 1</t>
  </si>
  <si>
    <t xml:space="preserve">Buy</t>
  </si>
  <si>
    <t xml:space="preserve">Stock 2</t>
  </si>
  <si>
    <t xml:space="preserve">Stock 3</t>
  </si>
  <si>
    <t xml:space="preserve">Hold</t>
  </si>
  <si>
    <t xml:space="preserve">Stock 4</t>
  </si>
  <si>
    <t xml:space="preserve">Stock 5</t>
  </si>
  <si>
    <t xml:space="preserve">Sell</t>
  </si>
  <si>
    <t xml:space="preserve">Stock 6</t>
  </si>
  <si>
    <t xml:space="preserve">Stock 7</t>
  </si>
  <si>
    <t xml:space="preserve">Stock 8</t>
  </si>
  <si>
    <t xml:space="preserve">Stock 9</t>
  </si>
  <si>
    <t xml:space="preserve">Stock 10</t>
  </si>
  <si>
    <t xml:space="preserve">Stock 11</t>
  </si>
  <si>
    <t xml:space="preserve">Stock 12</t>
  </si>
  <si>
    <t xml:space="preserve">A Hold is right if the excess return is within +/-</t>
  </si>
  <si>
    <t xml:space="preserve">Coverage rating distribution (14 stocks)</t>
  </si>
  <si>
    <t xml:space="preserve">Stocks rated Buy</t>
  </si>
  <si>
    <t xml:space="preserve">Of which investment banking clients: Buy</t>
  </si>
  <si>
    <t xml:space="preserve">Stocks rated Hold</t>
  </si>
  <si>
    <t xml:space="preserve">Of which investment banking clients: Hold</t>
  </si>
  <si>
    <t xml:space="preserve">Stocks rated Sell</t>
  </si>
  <si>
    <t xml:space="preserve">Of which investment banking clients: Sell</t>
  </si>
  <si>
    <t xml:space="preserve">Buy side: position sizing (fictional fund)</t>
  </si>
  <si>
    <t xml:space="preserve">Maximum loss in the bear case, share of the portfolio</t>
  </si>
  <si>
    <t xml:space="preserve">Maximum weight</t>
  </si>
  <si>
    <t xml:space="preserve">Model: Halvorsen base case, FY2023A to FY2028E</t>
  </si>
  <si>
    <t xml:space="preserve">The analyst's initiation model. Every cell is a formula on the Inputs sheet. $m unless stated.</t>
  </si>
  <si>
    <t xml:space="preserve">Base case (initiation)</t>
  </si>
  <si>
    <t xml:space="preserve">Revenue</t>
  </si>
  <si>
    <t xml:space="preserve">%</t>
  </si>
  <si>
    <t xml:space="preserve">Flow Control: revenue growth</t>
  </si>
  <si>
    <t xml:space="preserve">Flow Control: revenue</t>
  </si>
  <si>
    <t xml:space="preserve">Measurement &amp; Analytics: revenue growth</t>
  </si>
  <si>
    <t xml:space="preserve">Measurement &amp; Analytics: revenue</t>
  </si>
  <si>
    <t xml:space="preserve">Aftermarket Services: revenue growth</t>
  </si>
  <si>
    <t xml:space="preserve">Aftermarket Services: revenue</t>
  </si>
  <si>
    <t xml:space="preserve">Total revenue</t>
  </si>
  <si>
    <t xml:space="preserve">Revenue growth</t>
  </si>
  <si>
    <t xml:space="preserve">Operating profit</t>
  </si>
  <si>
    <t xml:space="preserve">Flow Control: segment operating profit</t>
  </si>
  <si>
    <t xml:space="preserve">Measurement &amp; Analytics: segment operating profit</t>
  </si>
  <si>
    <t xml:space="preserve">Aftermarket Services: segment operating profit</t>
  </si>
  <si>
    <t xml:space="preserve">Sum of segment operating profit</t>
  </si>
  <si>
    <t xml:space="preserve">Adjusted operating income (adjusted EBIT)</t>
  </si>
  <si>
    <t xml:space="preserve">Adjusted operating margin</t>
  </si>
  <si>
    <t xml:space="preserve">Depreciation</t>
  </si>
  <si>
    <t xml:space="preserve">Adjusted EBITDA</t>
  </si>
  <si>
    <t xml:space="preserve">Reported operating income</t>
  </si>
  <si>
    <t xml:space="preserve">Net income and EPS</t>
  </si>
  <si>
    <t xml:space="preserve">Net interest expense (forecast: rate x opening net debt)</t>
  </si>
  <si>
    <t xml:space="preserve">Pretax income</t>
  </si>
  <si>
    <t xml:space="preserve">Income tax</t>
  </si>
  <si>
    <t xml:space="preserve">Net income (reported)</t>
  </si>
  <si>
    <t xml:space="preserve">Diluted shares</t>
  </si>
  <si>
    <t xml:space="preserve">m</t>
  </si>
  <si>
    <t xml:space="preserve">Reported EPS</t>
  </si>
  <si>
    <t xml:space="preserve">Reported to adjusted EPS</t>
  </si>
  <si>
    <t xml:space="preserve">Amortization after tax, per share</t>
  </si>
  <si>
    <t xml:space="preserve">Restructuring after tax, per share</t>
  </si>
  <si>
    <t xml:space="preserve">After-tax adjusting items</t>
  </si>
  <si>
    <t xml:space="preserve">Adjusted net income</t>
  </si>
  <si>
    <t xml:space="preserve">Adjusted EPS</t>
  </si>
  <si>
    <t xml:space="preserve">Adjusted EPS growth</t>
  </si>
  <si>
    <t xml:space="preserve">Adjusted EPS above reported, % of reported</t>
  </si>
  <si>
    <t xml:space="preserve">Cash flow and net debt</t>
  </si>
  <si>
    <t xml:space="preserve">Capex</t>
  </si>
  <si>
    <t xml:space="preserve">Change in net working capital</t>
  </si>
  <si>
    <t xml:space="preserve">Free cash flow (NI + dep. + amort. - capex - change in NWC)</t>
  </si>
  <si>
    <t xml:space="preserve">FCF conversion (FCF / adjusted net income)</t>
  </si>
  <si>
    <t xml:space="preserve">FCF per share</t>
  </si>
  <si>
    <t xml:space="preserve">Dividend per share</t>
  </si>
  <si>
    <t xml:space="preserve">Dividends paid</t>
  </si>
  <si>
    <t xml:space="preserve">Net debt at year end</t>
  </si>
  <si>
    <t xml:space="preserve">Net debt / adjusted EBITDA</t>
  </si>
  <si>
    <t xml:space="preserve">x</t>
  </si>
  <si>
    <t xml:space="preserve">Unlevered FCF (reported EBIT after tax + dep. + amort. - capex - change in NWC)</t>
  </si>
  <si>
    <t xml:space="preserve">Incremental margins (change in profit / change in revenue)</t>
  </si>
  <si>
    <t xml:space="preserve">Flow Control: incremental margin</t>
  </si>
  <si>
    <t xml:space="preserve">Measurement &amp; Analytics: incremental margin</t>
  </si>
  <si>
    <t xml:space="preserve">Aftermarket Services: incremental margin</t>
  </si>
  <si>
    <t xml:space="preserve">Adjusted EBIT: incremental margin</t>
  </si>
  <si>
    <t xml:space="preserve">Ratios quoted in the book</t>
  </si>
  <si>
    <t xml:space="preserve">Revenue mix FY2025A: Flow Control</t>
  </si>
  <si>
    <t xml:space="preserve">Revenue mix FY2025A: Measurement &amp; Analytics</t>
  </si>
  <si>
    <t xml:space="preserve">Revenue mix FY2025A: Aftermarket Services</t>
  </si>
  <si>
    <t xml:space="preserve">Revenue mix FY2028E: Flow Control</t>
  </si>
  <si>
    <t xml:space="preserve">Revenue mix FY2028E: Measurement &amp; Analytics</t>
  </si>
  <si>
    <t xml:space="preserve">Revenue mix FY2028E: Aftermarket Services</t>
  </si>
  <si>
    <t xml:space="preserve">Share of segment operating profit FY2025A: Flow Control</t>
  </si>
  <si>
    <t xml:space="preserve">Share of segment operating profit FY2025A: Measurement &amp; Analytics</t>
  </si>
  <si>
    <t xml:space="preserve">Share of segment operating profit FY2025A: Aftermarket Services</t>
  </si>
  <si>
    <t xml:space="preserve">MA and AS together, share of FY2025A revenue</t>
  </si>
  <si>
    <t xml:space="preserve">MA and AS together, share of FY2025A segment operating profit</t>
  </si>
  <si>
    <t xml:space="preserve">Adjusted EPS growth FY2025A to FY2028E, compound a year</t>
  </si>
  <si>
    <t xml:space="preserve">Revenue growth FY2025A to FY2028E, compound a year</t>
  </si>
  <si>
    <t xml:space="preserve">Restructuring FY2024A to FY2026E, total</t>
  </si>
  <si>
    <t xml:space="preserve">FY2026E EPS including restructuring (adjusted EPS minus the add-back)</t>
  </si>
  <si>
    <t xml:space="preserve">Segment margin mix FY2028E (sum of segment profit / revenue)</t>
  </si>
  <si>
    <t xml:space="preserve">Check: segment revenues add up to total, all years (difference)</t>
  </si>
  <si>
    <t xml:space="preserve">Scenarios: bear, base and bull, each recomputed from its own drivers</t>
  </si>
  <si>
    <t xml:space="preserve">Bear and bull are full copies of the model driven by their columns on the Inputs sheet. Probabilities are the analyst's judgment.</t>
  </si>
  <si>
    <t xml:space="preserve">Scenario summary</t>
  </si>
  <si>
    <t xml:space="preserve">Bear</t>
  </si>
  <si>
    <t xml:space="preserve">Base</t>
  </si>
  <si>
    <t xml:space="preserve">Bull</t>
  </si>
  <si>
    <t xml:space="preserve">FY2026E adjusted EPS</t>
  </si>
  <si>
    <t xml:space="preserve">FY2027E adjusted EPS</t>
  </si>
  <si>
    <t xml:space="preserve">P/E multiple</t>
  </si>
  <si>
    <t xml:space="preserve">12-month value (multiple x FY2027E EPS)</t>
  </si>
  <si>
    <t xml:space="preserve">Return from the initiation price</t>
  </si>
  <si>
    <t xml:space="preserve">Probability</t>
  </si>
  <si>
    <t xml:space="preserve">Probability x value</t>
  </si>
  <si>
    <t xml:space="preserve">Probability-weighted value</t>
  </si>
  <si>
    <t xml:space="preserve">Expected return from the price, before dividends</t>
  </si>
  <si>
    <t xml:space="preserve">Upside to bull / downside to bear (x to 1)</t>
  </si>
  <si>
    <t xml:space="preserve">Check: probabilities add up to 100%</t>
  </si>
  <si>
    <t xml:space="preserve">Bear case (drivers: Inputs, bear table)</t>
  </si>
  <si>
    <t xml:space="preserve">Bull case (drivers: Inputs, bull table)</t>
  </si>
  <si>
    <t xml:space="preserve">Valuation: four methods, the DCF control and the reverse DCF</t>
  </si>
  <si>
    <t xml:space="preserve">12-month basis unless stated. $m unless stated; per share in $.</t>
  </si>
  <si>
    <t xml:space="preserve">The market at initiation</t>
  </si>
  <si>
    <t xml:space="preserve">Share price</t>
  </si>
  <si>
    <t xml:space="preserve">Market capitalization (FY2027E diluted shares)</t>
  </si>
  <si>
    <t xml:space="preserve">Enterprise value (with FY2026E year-end net debt)</t>
  </si>
  <si>
    <t xml:space="preserve">P/E FY2026E adjusted EPS</t>
  </si>
  <si>
    <t xml:space="preserve">P/E FY2027E adjusted EPS</t>
  </si>
  <si>
    <t xml:space="preserve">EV/adjusted EBITDA FY2027E</t>
  </si>
  <si>
    <t xml:space="preserve">FCF yield FY2026E</t>
  </si>
  <si>
    <t xml:space="preserve">Dividend yield (FY2026E DPS)</t>
  </si>
  <si>
    <t xml:space="preserve">Peers (Inputs) and Halvorsen</t>
  </si>
  <si>
    <t xml:space="preserve">Peer</t>
  </si>
  <si>
    <t xml:space="preserve">Peer median</t>
  </si>
  <si>
    <t xml:space="preserve">Peer low</t>
  </si>
  <si>
    <t xml:space="preserve">Peer high</t>
  </si>
  <si>
    <t xml:space="preserve">Halvorsen (P/E at the price; revenue growth FY2025A-28E; FY2027E margin)</t>
  </si>
  <si>
    <t xml:space="preserve">Halvorsen P/E FY2027E versus the peer median</t>
  </si>
  <si>
    <t xml:space="preserve">Method 1: P/E (primary)</t>
  </si>
  <si>
    <t xml:space="preserve">Target P/E</t>
  </si>
  <si>
    <t xml:space="preserve">P/E value</t>
  </si>
  <si>
    <t xml:space="preserve">PRICE TARGET (rounded to the dollar)</t>
  </si>
  <si>
    <t xml:space="preserve">Method 2: EV/EBITDA</t>
  </si>
  <si>
    <t xml:space="preserve">Target EV/adjusted EBITDA</t>
  </si>
  <si>
    <t xml:space="preserve">FY2027E adjusted EBITDA</t>
  </si>
  <si>
    <t xml:space="preserve">Enterprise value</t>
  </si>
  <si>
    <t xml:space="preserve">Less FY2026E year-end net debt</t>
  </si>
  <si>
    <t xml:space="preserve">Equity value</t>
  </si>
  <si>
    <t xml:space="preserve">FY2027E diluted shares</t>
  </si>
  <si>
    <t xml:space="preserve">EV/EBITDA value per share</t>
  </si>
  <si>
    <t xml:space="preserve">Method 3: sum of the parts (FY2027E segment operating profit x EV/EBIT multiple)</t>
  </si>
  <si>
    <t xml:space="preserve">Part</t>
  </si>
  <si>
    <t xml:space="preserve">Profit</t>
  </si>
  <si>
    <t xml:space="preserve">Multiple</t>
  </si>
  <si>
    <t xml:space="preserve">Value</t>
  </si>
  <si>
    <t xml:space="preserve">Share</t>
  </si>
  <si>
    <t xml:space="preserve">Flow Control</t>
  </si>
  <si>
    <t xml:space="preserve">Measurement &amp; Analytics</t>
  </si>
  <si>
    <t xml:space="preserve">Aftermarket Services</t>
  </si>
  <si>
    <t xml:space="preserve">Three segments</t>
  </si>
  <si>
    <t xml:space="preserve">Corporate costs (negative value)</t>
  </si>
  <si>
    <t xml:space="preserve">Equity value (less FY2026E net debt)</t>
  </si>
  <si>
    <t xml:space="preserve">SOTP value per share</t>
  </si>
  <si>
    <t xml:space="preserve">Implied EV/adjusted EBIT of the whole</t>
  </si>
  <si>
    <t xml:space="preserve">Method 4: DCF (control; value at initiation, end-year discounting)</t>
  </si>
  <si>
    <t xml:space="preserve">WACC = (1 - debt weight) x Ke + debt weight x Kd x (1 - tax)</t>
  </si>
  <si>
    <t xml:space="preserve">Segment margin mix held at FY2028E</t>
  </si>
  <si>
    <t xml:space="preserve">Year</t>
  </si>
  <si>
    <t xml:space="preserve">FY2029E</t>
  </si>
  <si>
    <t xml:space="preserve">FY2030E</t>
  </si>
  <si>
    <t xml:space="preserve">Segment operating profit</t>
  </si>
  <si>
    <t xml:space="preserve">Adjusted EBIT</t>
  </si>
  <si>
    <t xml:space="preserve">Amortization</t>
  </si>
  <si>
    <t xml:space="preserve">Reported EBIT</t>
  </si>
  <si>
    <t xml:space="preserve">FY2026E includes restructuring</t>
  </si>
  <si>
    <t xml:space="preserve">Change in NWC</t>
  </si>
  <si>
    <t xml:space="preserve">Unlevered FCF</t>
  </si>
  <si>
    <t xml:space="preserve">Period (years)</t>
  </si>
  <si>
    <t xml:space="preserve">Discount factor</t>
  </si>
  <si>
    <t xml:space="preserve">Present value</t>
  </si>
  <si>
    <t xml:space="preserve">Sum of present values</t>
  </si>
  <si>
    <t xml:space="preserve">Terminal value = FY2030E FCF x (1 + g) / (WACC - g)</t>
  </si>
  <si>
    <t xml:space="preserve">Present value of the terminal value</t>
  </si>
  <si>
    <t xml:space="preserve">Terminal value, share of EV</t>
  </si>
  <si>
    <t xml:space="preserve">Less FY2025A net debt</t>
  </si>
  <si>
    <t xml:space="preserve">Current diluted shares</t>
  </si>
  <si>
    <t xml:space="preserve">DCF value per share TODAY</t>
  </si>
  <si>
    <t xml:space="preserve">Rolled forward 12 months: x (1 + Ke) - FY2026E DPS</t>
  </si>
  <si>
    <t xml:space="preserve">Reverse DCF at the initiation price</t>
  </si>
  <si>
    <t xml:space="preserve">PV of terminal value needed to justify the price</t>
  </si>
  <si>
    <t xml:space="preserve">Terminal value needed (undiscounted)</t>
  </si>
  <si>
    <t xml:space="preserve">Implied terminal growth at the WACC (closed form)</t>
  </si>
  <si>
    <t xml:space="preserve">DCF value per share at the implied growth</t>
  </si>
  <si>
    <t xml:space="preserve">Implied WACC at 3.0% terminal growth (bisection below)</t>
  </si>
  <si>
    <t xml:space="preserve">DCF value per share at the implied WACC</t>
  </si>
  <si>
    <t xml:space="preserve">Range of methods (12-month basis)</t>
  </si>
  <si>
    <t xml:space="preserve">Low (EV/EBITDA)</t>
  </si>
  <si>
    <t xml:space="preserve">High (DCF rolled forward)</t>
  </si>
  <si>
    <t xml:space="preserve">Spread, % of the low</t>
  </si>
  <si>
    <t xml:space="preserve">P/E value above SOTP</t>
  </si>
  <si>
    <t xml:space="preserve">P/E value above EV/EBITDA</t>
  </si>
  <si>
    <t xml:space="preserve">EV/adjusted EBITDA FY2027E implied by the price target</t>
  </si>
  <si>
    <t xml:space="preserve">Bisection for the implied WACC (60 steps; each row halves the interval)</t>
  </si>
  <si>
    <t xml:space="preserve">Step</t>
  </si>
  <si>
    <t xml:space="preserve">Low</t>
  </si>
  <si>
    <t xml:space="preserve">High</t>
  </si>
  <si>
    <t xml:space="preserve">Mid</t>
  </si>
  <si>
    <t xml:space="preserve">Value at mid</t>
  </si>
  <si>
    <t xml:space="preserve">Sensitivity: FY2027E EPS to each driver, the price target grid, the DCF grid</t>
  </si>
  <si>
    <t xml:space="preserve">Each shock runs a full copy of the model below (shock applied to FY2026E-FY2028E). Shock sizes are inputs.</t>
  </si>
  <si>
    <t xml:space="preserve">Volume shock (added each year)</t>
  </si>
  <si>
    <t xml:space="preserve">Margin shock (added each year)</t>
  </si>
  <si>
    <t xml:space="preserve">Price shock (added each year, all segments)</t>
  </si>
  <si>
    <t xml:space="preserve">Tax rate shock</t>
  </si>
  <si>
    <t xml:space="preserve">Shocked tax rate</t>
  </si>
  <si>
    <t xml:space="preserve">FY2027E adjusted EPS sensitivity</t>
  </si>
  <si>
    <t xml:space="preserve">EPS</t>
  </si>
  <si>
    <t xml:space="preserve">Change</t>
  </si>
  <si>
    <t xml:space="preserve">Change %</t>
  </si>
  <si>
    <t xml:space="preserve">Base case</t>
  </si>
  <si>
    <t xml:space="preserve">MA volume +1 pt each year</t>
  </si>
  <si>
    <t xml:space="preserve">FC volume +1 pt each year</t>
  </si>
  <si>
    <t xml:space="preserve">AS volume +1 pt each year</t>
  </si>
  <si>
    <t xml:space="preserve">MA margin +1 pt each year</t>
  </si>
  <si>
    <t xml:space="preserve">FC margin +1 pt each year</t>
  </si>
  <si>
    <t xml:space="preserve">AS margin +1 pt each year</t>
  </si>
  <si>
    <t xml:space="preserve">Price +1 pt, all segments</t>
  </si>
  <si>
    <t xml:space="preserve">Tax rate +2 pts</t>
  </si>
  <si>
    <t xml:space="preserve">Price target grid: P/E x FY2027E EPS shifted by</t>
  </si>
  <si>
    <t xml:space="preserve">-10%</t>
  </si>
  <si>
    <t xml:space="preserve">-5%</t>
  </si>
  <si>
    <t xml:space="preserve">0</t>
  </si>
  <si>
    <t xml:space="preserve">+5%</t>
  </si>
  <si>
    <t xml:space="preserve">+10%</t>
  </si>
  <si>
    <t xml:space="preserve">EPS shift (input)</t>
  </si>
  <si>
    <t xml:space="preserve">P/E multiple (input)</t>
  </si>
  <si>
    <t xml:space="preserve">DCF value per share today: WACC (rows) x terminal growth</t>
  </si>
  <si>
    <t xml:space="preserve">Terminal growth (input)</t>
  </si>
  <si>
    <t xml:space="preserve">WACC (input)</t>
  </si>
  <si>
    <t xml:space="preserve">WACC (live, from Valuation)</t>
  </si>
  <si>
    <t xml:space="preserve">Shock: MA volume +1 pt each year</t>
  </si>
  <si>
    <t xml:space="preserve">Shock: FC volume +1 pt each year</t>
  </si>
  <si>
    <t xml:space="preserve">Shock: AS volume +1 pt each year</t>
  </si>
  <si>
    <t xml:space="preserve">Shock: MA margin +1 pt each year</t>
  </si>
  <si>
    <t xml:space="preserve">Shock: FC margin +1 pt each year</t>
  </si>
  <si>
    <t xml:space="preserve">Shock: AS margin +1 pt each year</t>
  </si>
  <si>
    <t xml:space="preserve">Shock: Price +1 pt, all segments</t>
  </si>
  <si>
    <t xml:space="preserve">Shock: Tax rate +2 pts</t>
  </si>
  <si>
    <t xml:space="preserve">Consensus: nine brokers, the stale filter, the analyst's gap and the bridge</t>
  </si>
  <si>
    <t xml:space="preserve">Standard deviations are population standard deviations (STDEV.P). Stale = older than the threshold on Inputs.</t>
  </si>
  <si>
    <t xml:space="preserve">Broker</t>
  </si>
  <si>
    <t xml:space="preserve">Status</t>
  </si>
  <si>
    <t xml:space="preserve">Incl. FY2026E</t>
  </si>
  <si>
    <t xml:space="preserve">Incl. FY2027E</t>
  </si>
  <si>
    <t xml:space="preserve">Incl. revenue</t>
  </si>
  <si>
    <t xml:space="preserve">z FY2027E</t>
  </si>
  <si>
    <t xml:space="preserve">Gap to ours</t>
  </si>
  <si>
    <t xml:space="preserve">All nine brokers</t>
  </si>
  <si>
    <t xml:space="preserve">FY2026E mean</t>
  </si>
  <si>
    <t xml:space="preserve">FY2026E median</t>
  </si>
  <si>
    <t xml:space="preserve">FY2026E high</t>
  </si>
  <si>
    <t xml:space="preserve">FY2026E low</t>
  </si>
  <si>
    <t xml:space="preserve">FY2026E standard deviation (population)</t>
  </si>
  <si>
    <t xml:space="preserve">FY2027E mean</t>
  </si>
  <si>
    <t xml:space="preserve">FY2027E median</t>
  </si>
  <si>
    <t xml:space="preserve">FY2027E high</t>
  </si>
  <si>
    <t xml:space="preserve">FY2027E low</t>
  </si>
  <si>
    <t xml:space="preserve">FY2027E standard deviation (population)</t>
  </si>
  <si>
    <t xml:space="preserve">FY2026E revenue mean</t>
  </si>
  <si>
    <t xml:space="preserve">Cleaned consensus (stale estimates excluded)</t>
  </si>
  <si>
    <t xml:space="preserve">Brokers kept</t>
  </si>
  <si>
    <t xml:space="preserve">Brokers excluded as stale</t>
  </si>
  <si>
    <t xml:space="preserve">The analyst against the cleaned consensus</t>
  </si>
  <si>
    <t xml:space="preserve">The analyst, FY2026E adjusted EPS</t>
  </si>
  <si>
    <t xml:space="preserve">Gap to the cleaned mean, FY2026E</t>
  </si>
  <si>
    <t xml:space="preserve">Standard deviations from the mean, FY2026E</t>
  </si>
  <si>
    <t xml:space="preserve">The analyst, FY2027E adjusted EPS</t>
  </si>
  <si>
    <t xml:space="preserve">Gap to the cleaned mean, FY2027E</t>
  </si>
  <si>
    <t xml:space="preserve">Standard deviations from the mean, FY2027E</t>
  </si>
  <si>
    <t xml:space="preserve">Rank on FY2027E among the fresh brokers and the analyst</t>
  </si>
  <si>
    <t xml:space="preserve">Out of</t>
  </si>
  <si>
    <t xml:space="preserve">Revenue gap, FY2026E</t>
  </si>
  <si>
    <t xml:space="preserve">Bridge of FY2027E adjusted EPS: reconstructed consensus to the analyst (one factor at a time)</t>
  </si>
  <si>
    <t xml:space="preserve">Variable</t>
  </si>
  <si>
    <t xml:space="preserve">Consensus</t>
  </si>
  <si>
    <t xml:space="preserve">Analyst</t>
  </si>
  <si>
    <t xml:space="preserve">Step 0</t>
  </si>
  <si>
    <t xml:space="preserve">Step 1</t>
  </si>
  <si>
    <t xml:space="preserve">Step 2</t>
  </si>
  <si>
    <t xml:space="preserve">Step 3</t>
  </si>
  <si>
    <t xml:space="preserve">Step 4</t>
  </si>
  <si>
    <t xml:space="preserve">Step 5</t>
  </si>
  <si>
    <t xml:space="preserve">Step 6</t>
  </si>
  <si>
    <t xml:space="preserve">rev_FC</t>
  </si>
  <si>
    <t xml:space="preserve">rev_MA</t>
  </si>
  <si>
    <t xml:space="preserve">rev_AS</t>
  </si>
  <si>
    <t xml:space="preserve">m_FC</t>
  </si>
  <si>
    <t xml:space="preserve">m_MA</t>
  </si>
  <si>
    <t xml:space="preserve">m_AS</t>
  </si>
  <si>
    <t xml:space="preserve">corp</t>
  </si>
  <si>
    <t xml:space="preserve">amort</t>
  </si>
  <si>
    <t xml:space="preserve">interest</t>
  </si>
  <si>
    <t xml:space="preserve">shares</t>
  </si>
  <si>
    <t xml:space="preserve">Adjusted EPS ((segment profit - corporate - interest) x (1 - tax) / shares)</t>
  </si>
  <si>
    <t xml:space="preserve">Bridge step</t>
  </si>
  <si>
    <t xml:space="preserve">$ per share</t>
  </si>
  <si>
    <t xml:space="preserve">Consensus (reconstructed)</t>
  </si>
  <si>
    <t xml:space="preserve">MA revenue</t>
  </si>
  <si>
    <t xml:space="preserve">MA margin</t>
  </si>
  <si>
    <t xml:space="preserve">FC revenue</t>
  </si>
  <si>
    <t xml:space="preserve">FC margin</t>
  </si>
  <si>
    <t xml:space="preserve">AS revenue and margin</t>
  </si>
  <si>
    <t xml:space="preserve">Corporate, interest, shares</t>
  </si>
  <si>
    <t xml:space="preserve">Analyst estimate</t>
  </si>
  <si>
    <t xml:space="preserve">Total gap (analyst minus reconstructed consensus)</t>
  </si>
  <si>
    <t xml:space="preserve">Of which MA revenue and MA margin</t>
  </si>
  <si>
    <t xml:space="preserve">Check: steps add up to the total</t>
  </si>
  <si>
    <t xml:space="preserve">Rating: the expected total return and the firm's grid</t>
  </si>
  <si>
    <t xml:space="preserve">Buy at or above the Buy threshold, Sell at or below the Sell threshold, Hold in between (Inputs).</t>
  </si>
  <si>
    <t xml:space="preserve">At initiation</t>
  </si>
  <si>
    <t xml:space="preserve">Price target</t>
  </si>
  <si>
    <t xml:space="preserve">Upside to target</t>
  </si>
  <si>
    <t xml:space="preserve">EXPECTED 12-MONTH TOTAL RETURN</t>
  </si>
  <si>
    <t xml:space="preserve">Rating on the grid</t>
  </si>
  <si>
    <t xml:space="preserve">Price above which the Buy falls to Hold: (target + DPS) / (1 + Buy threshold)</t>
  </si>
  <si>
    <t xml:space="preserve">Hold line above the initiation price</t>
  </si>
  <si>
    <t xml:space="preserve">Check: total return at the Hold line equals the Buy threshold</t>
  </si>
  <si>
    <t xml:space="preserve">Coverage rating distribution (disclosed in each report)</t>
  </si>
  <si>
    <t xml:space="preserve">Stocks</t>
  </si>
  <si>
    <t xml:space="preserve">% of coverage</t>
  </si>
  <si>
    <t xml:space="preserve">IB clients</t>
  </si>
  <si>
    <t xml:space="preserve">% IB clients</t>
  </si>
  <si>
    <t xml:space="preserve">Total</t>
  </si>
  <si>
    <t xml:space="preserve">Quarter: Q1 FY2026, the estimate from seasonality, the actual and the variance</t>
  </si>
  <si>
    <t xml:space="preserve">Estimate = FY2026E base model x the Q1 seasonality on Inputs. Actual = reported figures (Inputs). $m unless stated.</t>
  </si>
  <si>
    <t xml:space="preserve">Line</t>
  </si>
  <si>
    <t xml:space="preserve">Estimate</t>
  </si>
  <si>
    <t xml:space="preserve">Actual</t>
  </si>
  <si>
    <t xml:space="preserve">Difference</t>
  </si>
  <si>
    <t xml:space="preserve">Difference %</t>
  </si>
  <si>
    <t xml:space="preserve">Flow Control revenue</t>
  </si>
  <si>
    <t xml:space="preserve">Measurement &amp; Analytics revenue</t>
  </si>
  <si>
    <t xml:space="preserve">Aftermarket Services revenue</t>
  </si>
  <si>
    <t xml:space="preserve">Flow Control margin</t>
  </si>
  <si>
    <t xml:space="preserve">Measurement &amp; Analytics margin</t>
  </si>
  <si>
    <t xml:space="preserve">Aftermarket Services margin</t>
  </si>
  <si>
    <t xml:space="preserve">Flow Control operating profit</t>
  </si>
  <si>
    <t xml:space="preserve">Measurement &amp; Analytics operating profit</t>
  </si>
  <si>
    <t xml:space="preserve">Aftermarket Services operating profit</t>
  </si>
  <si>
    <t xml:space="preserve">Restructuring</t>
  </si>
  <si>
    <t xml:space="preserve">Net interest</t>
  </si>
  <si>
    <t xml:space="preserve">Tax rate</t>
  </si>
  <si>
    <t xml:space="preserve">Net income</t>
  </si>
  <si>
    <t xml:space="preserve">Against consensus, a year earlier and the guidance</t>
  </si>
  <si>
    <t xml:space="preserve">Actual adjusted EPS vs Q1 consensus</t>
  </si>
  <si>
    <t xml:space="preserve">Actual revenue vs Q1 consensus</t>
  </si>
  <si>
    <t xml:space="preserve">Prior-year Q1 revenue, total</t>
  </si>
  <si>
    <t xml:space="preserve">Year on year: Flow Control revenue</t>
  </si>
  <si>
    <t xml:space="preserve">Year on year: Measurement &amp; Analytics revenue</t>
  </si>
  <si>
    <t xml:space="preserve">Year on year: Aftermarket Services revenue</t>
  </si>
  <si>
    <t xml:space="preserve">Year on year: total revenue</t>
  </si>
  <si>
    <t xml:space="preserve">Year on year: adjusted EPS</t>
  </si>
  <si>
    <t xml:space="preserve">FC volume in Q1 (growth net of the disclosed price)</t>
  </si>
  <si>
    <t xml:space="preserve">Old FY2026 guidance midpoint</t>
  </si>
  <si>
    <t xml:space="preserve">New FY2026 guidance midpoint</t>
  </si>
  <si>
    <t xml:space="preserve">Q1 adjusted EPS bridge, estimate to actual ($ per share, after tax)</t>
  </si>
  <si>
    <t xml:space="preserve">Revenue effect = revenue difference x estimated margin; margin effect = margin difference x actual revenue; both x (1 - tax) / estimated shares.</t>
  </si>
  <si>
    <t xml:space="preserve">Reported adjusted EPS</t>
  </si>
  <si>
    <t xml:space="preserve">The rating the evening before results</t>
  </si>
  <si>
    <t xml:space="preserve">Expected total return at the evening price: (target + DPS) / price - 1</t>
  </si>
  <si>
    <t xml:space="preserve">Revision after Q1: the updated model, the new target and the new rating</t>
  </si>
  <si>
    <t xml:space="preserve">The revised model is a full copy driven by the revised drivers on Inputs (changed cells in blue there).</t>
  </si>
  <si>
    <t xml:space="preserve">Before and after</t>
  </si>
  <si>
    <t xml:space="preserve">Adjusted EPS, initiation model</t>
  </si>
  <si>
    <t xml:space="preserve">Adjusted EPS, revised model</t>
  </si>
  <si>
    <t xml:space="preserve">Revenue, initiation model</t>
  </si>
  <si>
    <t xml:space="preserve">Revenue, revised model</t>
  </si>
  <si>
    <t xml:space="preserve">Revised FY2026E adjusted EPS vs new guidance midpoint</t>
  </si>
  <si>
    <t xml:space="preserve">Target P/E after the revision</t>
  </si>
  <si>
    <t xml:space="preserve">P/E value on revised FY2027E EPS</t>
  </si>
  <si>
    <t xml:space="preserve">NEW PRICE TARGET (rounded)</t>
  </si>
  <si>
    <t xml:space="preserve">Previous price target</t>
  </si>
  <si>
    <t xml:space="preserve">Share price move on results day</t>
  </si>
  <si>
    <t xml:space="preserve">Relative to the sector index</t>
  </si>
  <si>
    <t xml:space="preserve">P/E FY2027E before results (evening price / old EPS)</t>
  </si>
  <si>
    <t xml:space="preserve">P/E FY2027E after results (closing price / new EPS)</t>
  </si>
  <si>
    <t xml:space="preserve">Price justified by the revision alone at a constant multiple</t>
  </si>
  <si>
    <t xml:space="preserve">Part of the move that is re-rating (price move minus EPS revision)</t>
  </si>
  <si>
    <t xml:space="preserve">Upside from the closing price</t>
  </si>
  <si>
    <t xml:space="preserve">Dividend yield (revised FY2026E DPS)</t>
  </si>
  <si>
    <t xml:space="preserve">New expected total return</t>
  </si>
  <si>
    <t xml:space="preserve">New rating on the grid</t>
  </si>
  <si>
    <t xml:space="preserve">Target needed for a Buy at the closing price: price x (1 + threshold) - DPS</t>
  </si>
  <si>
    <t xml:space="preserve">Implied P/E on revised FY2027E EPS</t>
  </si>
  <si>
    <t xml:space="preserve">Revised model (drivers: Inputs, revised table)</t>
  </si>
  <si>
    <t xml:space="preserve">Track record: twelve past calls scored with the book's rules</t>
  </si>
  <si>
    <t xml:space="preserve">Buy right if excess &gt; 0; Sell right if excess &lt; 0; Hold right if the excess is within the band on Inputs.</t>
  </si>
  <si>
    <t xml:space="preserve">Stock</t>
  </si>
  <si>
    <t xml:space="preserve">Start</t>
  </si>
  <si>
    <t xml:space="preserve">End</t>
  </si>
  <si>
    <t xml:space="preserve">Total return</t>
  </si>
  <si>
    <t xml:space="preserve">Excess</t>
  </si>
  <si>
    <t xml:space="preserve">Right?</t>
  </si>
  <si>
    <t xml:space="preserve">Calls</t>
  </si>
  <si>
    <t xml:space="preserve">Right</t>
  </si>
  <si>
    <t xml:space="preserve">Hit rate</t>
  </si>
  <si>
    <t xml:space="preserve">Buy calls</t>
  </si>
  <si>
    <t xml:space="preserve">Buy calls right</t>
  </si>
  <si>
    <t xml:space="preserve">Buy calls: average excess return</t>
  </si>
  <si>
    <t xml:space="preserve">Sell calls</t>
  </si>
  <si>
    <t xml:space="preserve">Sell calls right</t>
  </si>
  <si>
    <t xml:space="preserve">Sell calls: average excess return</t>
  </si>
  <si>
    <t xml:space="preserve">Hold calls</t>
  </si>
  <si>
    <t xml:space="preserve">Hold calls right</t>
  </si>
  <si>
    <t xml:space="preserve">Hold calls: average excess return</t>
  </si>
  <si>
    <t xml:space="preserve">Buy minus Sell spread</t>
  </si>
  <si>
    <t xml:space="preserve">Equal-weight long Buys, short Sells: average excess per position</t>
  </si>
  <si>
    <t xml:space="preserve">Buy side: sizing the same idea</t>
  </si>
  <si>
    <t xml:space="preserve">Weight = the smaller of the maximum weight and the risk budget divided by the bear-case loss.</t>
  </si>
  <si>
    <t xml:space="preserve">Bear case value</t>
  </si>
  <si>
    <t xml:space="preserve">Bear-case return</t>
  </si>
  <si>
    <t xml:space="preserve">Risk budget (loss allowed in the bear case, share of the portfolio)</t>
  </si>
  <si>
    <t xml:space="preserve">MAXIMUM WEIGHT FOR HALVORSEN</t>
  </si>
  <si>
    <t xml:space="preserve">Expected return (probability-weighted, before dividends)</t>
  </si>
  <si>
    <t xml:space="preserve">Upside / downside (x to 1)</t>
  </si>
  <si>
    <t xml:space="preserve">Text_Figures: numbers the chapters compute in their own text</t>
  </si>
  <si>
    <t xml:space="preserve">Each figure is a live formula on the model cells. Its printed value and the gap are in Checks.</t>
  </si>
  <si>
    <t xml:space="preserve">Where the text shows its arithmetic on figures it has already rounded, the formula rounds them the same way.</t>
  </si>
  <si>
    <t xml:space="preserve">Chapter</t>
  </si>
  <si>
    <t xml:space="preserve">Figure in the text</t>
  </si>
  <si>
    <t xml:space="preserve">Live value</t>
  </si>
  <si>
    <t xml:space="preserve">3</t>
  </si>
  <si>
    <t xml:space="preserve">Flow Control FY2025A volume factor, 1 + volume growth</t>
  </si>
  <si>
    <t xml:space="preserve">Flow Control FY2025A price factor, 1 + price</t>
  </si>
  <si>
    <t xml:space="preserve">Flow Control FY2025A growth factor, volume factor x price factor</t>
  </si>
  <si>
    <t xml:space="preserve">FY2022A revenue, three segments</t>
  </si>
  <si>
    <t xml:space="preserve">Flow Control FY2024A volume factor</t>
  </si>
  <si>
    <t xml:space="preserve">Flow Control FY2023A price factor</t>
  </si>
  <si>
    <t xml:space="preserve">Flow Control FY2023A volume factor</t>
  </si>
  <si>
    <t xml:space="preserve">Flow Control FY2023A growth with volume rounded to 1.0 percent (rounding illustration)</t>
  </si>
  <si>
    <t xml:space="preserve">Measurement &amp; Analytics volume compounded over FY2023A to FY2025A</t>
  </si>
  <si>
    <t xml:space="preserve">Measurement &amp; Analytics share of the FY2023A to FY2025A increase in segment operating profit</t>
  </si>
  <si>
    <t xml:space="preserve">Measurement &amp; Analytics share of FY2023A revenue</t>
  </si>
  <si>
    <t xml:space="preserve">Flow Control increase in segment operating profit, FY2023A to FY2025A</t>
  </si>
  <si>
    <t xml:space="preserve">4</t>
  </si>
  <si>
    <t xml:space="preserve">Flow Control FY2026E price factor</t>
  </si>
  <si>
    <t xml:space="preserve">Flow Control FY2026E growth factor, (1 + volume) x (1 + price)</t>
  </si>
  <si>
    <t xml:space="preserve">Measurement &amp; Analytics FY2026E price factor</t>
  </si>
  <si>
    <t xml:space="preserve">Measurement &amp; Analytics FY2026E: compounding less simple addition of the two drivers</t>
  </si>
  <si>
    <t xml:space="preserve">5</t>
  </si>
  <si>
    <t xml:space="preserve">Revenue added, FY2025A to FY2026E</t>
  </si>
  <si>
    <t xml:space="preserve">Flow Control extra revenue, FY2026E</t>
  </si>
  <si>
    <t xml:space="preserve">Measurement &amp; Analytics extra revenue, FY2026E</t>
  </si>
  <si>
    <t xml:space="preserve">Measurement &amp; Analytics FY2028E revenue at its FY2025A margin</t>
  </si>
  <si>
    <t xml:space="preserve">Three segments, FY2028E revenue at FY2025A margins, total</t>
  </si>
  <si>
    <t xml:space="preserve">FY2027E adjusted EBITDA, % of revenue</t>
  </si>
  <si>
    <t xml:space="preserve">6</t>
  </si>
  <si>
    <t xml:space="preserve">One minus the tax rate</t>
  </si>
  <si>
    <t xml:space="preserve">Adjusted EBIT growth, FY2025A to FY2028E</t>
  </si>
  <si>
    <t xml:space="preserve">Adjusted net income, FY2028E over FY2025A</t>
  </si>
  <si>
    <t xml:space="preserve">Diluted shares, FY2028E over FY2025A</t>
  </si>
  <si>
    <t xml:space="preserve">1.410 / 0.968, on the two printed ratios</t>
  </si>
  <si>
    <t xml:space="preserve">Adjusted EPS FY2028E over FY2025A, on the printed cents ($5.76 / $3.96)</t>
  </si>
  <si>
    <t xml:space="preserve">7</t>
  </si>
  <si>
    <t xml:space="preserve">FY2025A restructuring after tax</t>
  </si>
  <si>
    <t xml:space="preserve">8</t>
  </si>
  <si>
    <t xml:space="preserve">FY2025A adjusted net income less FCF</t>
  </si>
  <si>
    <t xml:space="preserve">Revenue increase, FY2026E</t>
  </si>
  <si>
    <t xml:space="preserve">Profit after tax on $100 of new revenue at the rounded FY2026E incremental margin</t>
  </si>
  <si>
    <t xml:space="preserve">FY2026E capex over depreciation</t>
  </si>
  <si>
    <t xml:space="preserve">FY2026E capex less depreciation</t>
  </si>
  <si>
    <t xml:space="preserve">Fall in net debt, FY2025A to FY2028E</t>
  </si>
  <si>
    <t xml:space="preserve">FY2026E dividends and buybacks</t>
  </si>
  <si>
    <t xml:space="preserve">9</t>
  </si>
  <si>
    <t xml:space="preserve">Sum of the three volume sensitivities (FY2027E EPS)</t>
  </si>
  <si>
    <t xml:space="preserve">Bear multiple x bear FY2027E EPS rounded to the cent</t>
  </si>
  <si>
    <t xml:space="preserve">Base value at the bear multiple</t>
  </si>
  <si>
    <t xml:space="preserve">Base value less probability-weighted value</t>
  </si>
  <si>
    <t xml:space="preserve">Upside to the bull value</t>
  </si>
  <si>
    <t xml:space="preserve">Downside to the bear value</t>
  </si>
  <si>
    <t xml:space="preserve">10</t>
  </si>
  <si>
    <t xml:space="preserve">FY2027E Measurement &amp; Analytics revenue, analyst less consensus</t>
  </si>
  <si>
    <t xml:space="preserve">Share of the consensus gap from MA revenue and margin, on the printed 0.146 and 0.188</t>
  </si>
  <si>
    <t xml:space="preserve">FY2027E consensus revenue, three segments</t>
  </si>
  <si>
    <t xml:space="preserve">FY2027E revenue, analyst less consensus</t>
  </si>
  <si>
    <t xml:space="preserve">11</t>
  </si>
  <si>
    <t xml:space="preserve">Revision factor: $89.10 over the evening price</t>
  </si>
  <si>
    <t xml:space="preserve">Re-rating factor: closing price over $89.10</t>
  </si>
  <si>
    <t xml:space="preserve">Product of the two factors</t>
  </si>
  <si>
    <t xml:space="preserve">12</t>
  </si>
  <si>
    <t xml:space="preserve">Average P/E of the two FC peers (peers 1 and 6)</t>
  </si>
  <si>
    <t xml:space="preserve">Average P/E of the two MA peers (peers 2 and 4)</t>
  </si>
  <si>
    <t xml:space="preserve">Halfway between the two averages</t>
  </si>
  <si>
    <t xml:space="preserve">Target P/E over the peer median P/E</t>
  </si>
  <si>
    <t xml:space="preserve">P/E value less EV/EBITDA value</t>
  </si>
  <si>
    <t xml:space="preserve">Target EV/EBITDA over the peer median EV/EBITDA</t>
  </si>
  <si>
    <t xml:space="preserve">Target P/E x FY2026E adjusted EPS</t>
  </si>
  <si>
    <t xml:space="preserve">Equity value at the $101 target</t>
  </si>
  <si>
    <t xml:space="preserve">Enterprise value implied by the $101 target</t>
  </si>
  <si>
    <t xml:space="preserve">13</t>
  </si>
  <si>
    <t xml:space="preserve">FY2026E reported operating income after tax</t>
  </si>
  <si>
    <t xml:space="preserve">FY2026E net interest after tax</t>
  </si>
  <si>
    <t xml:space="preserve">WACC, equity piece: equity weight x cost of equity</t>
  </si>
  <si>
    <t xml:space="preserve">WACC, debt piece: debt weight x cost of debt x (1 - tax)</t>
  </si>
  <si>
    <t xml:space="preserve">Roll-forward factor, 1 + cost of equity</t>
  </si>
  <si>
    <t xml:space="preserve">DCF value today x roll-forward factor</t>
  </si>
  <si>
    <t xml:space="preserve">DCF grid: 7.5% WACC and 3.5% growth over 8.5% WACC and 2.5% growth</t>
  </si>
  <si>
    <t xml:space="preserve">DCF grid: half a point more growth at the base WACC, on the printed $106.35 and $95.06</t>
  </si>
  <si>
    <t xml:space="preserve">DCF rolled forward over the P/E value</t>
  </si>
  <si>
    <t xml:space="preserve">14</t>
  </si>
  <si>
    <t xml:space="preserve">Corporate costs in the SOTP, per share</t>
  </si>
  <si>
    <t xml:space="preserve">SOTP: one turn of multiple on MA, per share</t>
  </si>
  <si>
    <t xml:space="preserve">SOTP with MA at the AS multiple (16x)</t>
  </si>
  <si>
    <t xml:space="preserve">Sum of the four values (P/E, EV/EBITDA, SOTP, DCF rolled forward)</t>
  </si>
  <si>
    <t xml:space="preserve">Average of the four values</t>
  </si>
  <si>
    <t xml:space="preserve">Target needed for a Buy at $86.20: 1.15 x price less the FY2026E dividend</t>
  </si>
  <si>
    <t xml:space="preserve">15</t>
  </si>
  <si>
    <t xml:space="preserve">Upside plus dividend yield, each rounded to a tenth of a percent</t>
  </si>
  <si>
    <t xml:space="preserve">Sell line divisor, 1 + Sell threshold</t>
  </si>
  <si>
    <t xml:space="preserve">Sell line: (target + DPS) / 0.95</t>
  </si>
  <si>
    <t xml:space="preserve">Buy line less the initiation price</t>
  </si>
  <si>
    <t xml:space="preserve">17</t>
  </si>
  <si>
    <t xml:space="preserve">Q1 estimate: adjusted EBIT less interest</t>
  </si>
  <si>
    <t xml:space="preserve">Q1 EPS bridge: sum of the steps rounded to a tenth of a cent</t>
  </si>
  <si>
    <t xml:space="preserve">Q1 Flow Control revenue factor, year on year</t>
  </si>
  <si>
    <t xml:space="preserve">Q1 Flow Control price factor disclosed</t>
  </si>
  <si>
    <t xml:space="preserve">Q1 restructuring over the FY2026E estimate</t>
  </si>
  <si>
    <t xml:space="preserve">18</t>
  </si>
  <si>
    <t xml:space="preserve">Q1 Measurement &amp; Analytics revenue factor, year on year</t>
  </si>
  <si>
    <t xml:space="preserve">Measurement &amp; Analytics FY2026E price factor in the model</t>
  </si>
  <si>
    <t xml:space="preserve">Results day: part of the move that is re-rating</t>
  </si>
  <si>
    <t xml:space="preserve">Hold line at the new target: (target + DPS) / 1.15</t>
  </si>
  <si>
    <t xml:space="preserve">20</t>
  </si>
  <si>
    <t xml:space="preserve">Seven Buys: sum of the excess returns, each rounded to a tenth of a point</t>
  </si>
  <si>
    <t xml:space="preserve">Long the Buys, short the Sells: sum of the nine positions, on the rounded excess returns</t>
  </si>
  <si>
    <t xml:space="preserve">21</t>
  </si>
  <si>
    <t xml:space="preserve">Maximum weight after Q1: risk budget / bear-case loss from $93.25</t>
  </si>
  <si>
    <t xml:space="preserve">A1</t>
  </si>
  <si>
    <t xml:space="preserve">Checks: every figure printed in the book against the live workbook</t>
  </si>
  <si>
    <t xml:space="preserve">Printed = the figure as printed in _FACTS.md or, for Text_Figures, in the chapter. Tolerance = half a unit of the last printed digit. Any error value in a live cell makes its row FAIL.</t>
  </si>
  <si>
    <t xml:space="preserve">Overall status</t>
  </si>
  <si>
    <t xml:space="preserve">Number of checks</t>
  </si>
  <si>
    <t xml:space="preserve">PASS</t>
  </si>
  <si>
    <t xml:space="preserve">FAIL</t>
  </si>
  <si>
    <t xml:space="preserve">#</t>
  </si>
  <si>
    <t xml:space="preserve">Sheet</t>
  </si>
  <si>
    <t xml:space="preserve">Figure printed in the book (or logic check)</t>
  </si>
  <si>
    <t xml:space="preserve">Printed</t>
  </si>
  <si>
    <t xml:space="preserve">Gap</t>
  </si>
  <si>
    <t xml:space="preserve">Tolerance</t>
  </si>
  <si>
    <t xml:space="preserve">Model</t>
  </si>
  <si>
    <t xml:space="preserve">Flow Control revenue, FY2023A</t>
  </si>
  <si>
    <t xml:space="preserve">Flow Control revenue, FY2024A</t>
  </si>
  <si>
    <t xml:space="preserve">Flow Control revenue, FY2025A</t>
  </si>
  <si>
    <t xml:space="preserve">Flow Control revenue, FY2026E</t>
  </si>
  <si>
    <t xml:space="preserve">Flow Control revenue, FY2027E</t>
  </si>
  <si>
    <t xml:space="preserve">Flow Control revenue, FY2028E</t>
  </si>
  <si>
    <t xml:space="preserve">Measurement &amp; Analytics revenue, FY2023A</t>
  </si>
  <si>
    <t xml:space="preserve">Measurement &amp; Analytics revenue, FY2024A</t>
  </si>
  <si>
    <t xml:space="preserve">Measurement &amp; Analytics revenue, FY2025A</t>
  </si>
  <si>
    <t xml:space="preserve">Measurement &amp; Analytics revenue, FY2026E</t>
  </si>
  <si>
    <t xml:space="preserve">Measurement &amp; Analytics revenue, FY2027E</t>
  </si>
  <si>
    <t xml:space="preserve">Measurement &amp; Analytics revenue, FY2028E</t>
  </si>
  <si>
    <t xml:space="preserve">Aftermarket Services revenue, FY2023A</t>
  </si>
  <si>
    <t xml:space="preserve">Aftermarket Services revenue, FY2024A</t>
  </si>
  <si>
    <t xml:space="preserve">Aftermarket Services revenue, FY2025A</t>
  </si>
  <si>
    <t xml:space="preserve">Aftermarket Services revenue, FY2026E</t>
  </si>
  <si>
    <t xml:space="preserve">Aftermarket Services revenue, FY2027E</t>
  </si>
  <si>
    <t xml:space="preserve">Aftermarket Services revenue, FY2028E</t>
  </si>
  <si>
    <t xml:space="preserve">Total revenue, FY2023A</t>
  </si>
  <si>
    <t xml:space="preserve">Total revenue, FY2024A</t>
  </si>
  <si>
    <t xml:space="preserve">Total revenue, FY2025A</t>
  </si>
  <si>
    <t xml:space="preserve">Total revenue, FY2026E</t>
  </si>
  <si>
    <t xml:space="preserve">Total revenue, FY2027E</t>
  </si>
  <si>
    <t xml:space="preserve">Total revenue, FY2028E</t>
  </si>
  <si>
    <t xml:space="preserve">Revenue growth, FY2023A</t>
  </si>
  <si>
    <t xml:space="preserve">Revenue growth, FY2024A</t>
  </si>
  <si>
    <t xml:space="preserve">Revenue growth, FY2025A</t>
  </si>
  <si>
    <t xml:space="preserve">Revenue growth, FY2026E</t>
  </si>
  <si>
    <t xml:space="preserve">Revenue growth, FY2027E</t>
  </si>
  <si>
    <t xml:space="preserve">Revenue growth, FY2028E</t>
  </si>
  <si>
    <t xml:space="preserve">FC growth, FY2023A</t>
  </si>
  <si>
    <t xml:space="preserve">FC growth, FY2024A</t>
  </si>
  <si>
    <t xml:space="preserve">FC growth, FY2025A</t>
  </si>
  <si>
    <t xml:space="preserve">FC growth, FY2026E</t>
  </si>
  <si>
    <t xml:space="preserve">FC growth, FY2027E</t>
  </si>
  <si>
    <t xml:space="preserve">FC growth, FY2028E</t>
  </si>
  <si>
    <t xml:space="preserve">FC volume, FY2023A</t>
  </si>
  <si>
    <t xml:space="preserve">FC volume, FY2024A</t>
  </si>
  <si>
    <t xml:space="preserve">FC volume, FY2025A</t>
  </si>
  <si>
    <t xml:space="preserve">FC volume, FY2026E</t>
  </si>
  <si>
    <t xml:space="preserve">FC volume, FY2027E</t>
  </si>
  <si>
    <t xml:space="preserve">FC volume, FY2028E</t>
  </si>
  <si>
    <t xml:space="preserve">FC price, FY2023A</t>
  </si>
  <si>
    <t xml:space="preserve">FC price, FY2024A</t>
  </si>
  <si>
    <t xml:space="preserve">FC price, FY2025A</t>
  </si>
  <si>
    <t xml:space="preserve">FC price, FY2026E</t>
  </si>
  <si>
    <t xml:space="preserve">FC price, FY2027E</t>
  </si>
  <si>
    <t xml:space="preserve">FC price, FY2028E</t>
  </si>
  <si>
    <t xml:space="preserve">MA growth, FY2023A</t>
  </si>
  <si>
    <t xml:space="preserve">MA growth, FY2024A</t>
  </si>
  <si>
    <t xml:space="preserve">MA growth, FY2025A</t>
  </si>
  <si>
    <t xml:space="preserve">MA growth, FY2026E</t>
  </si>
  <si>
    <t xml:space="preserve">MA growth, FY2027E</t>
  </si>
  <si>
    <t xml:space="preserve">MA growth, FY2028E</t>
  </si>
  <si>
    <t xml:space="preserve">MA volume, FY2023A</t>
  </si>
  <si>
    <t xml:space="preserve">MA volume, FY2024A</t>
  </si>
  <si>
    <t xml:space="preserve">MA volume, FY2025A</t>
  </si>
  <si>
    <t xml:space="preserve">MA volume, FY2026E</t>
  </si>
  <si>
    <t xml:space="preserve">MA volume, FY2027E</t>
  </si>
  <si>
    <t xml:space="preserve">MA volume, FY2028E</t>
  </si>
  <si>
    <t xml:space="preserve">MA price, FY2023A</t>
  </si>
  <si>
    <t xml:space="preserve">MA price, FY2024A</t>
  </si>
  <si>
    <t xml:space="preserve">MA price, FY2025A</t>
  </si>
  <si>
    <t xml:space="preserve">MA price, FY2026E</t>
  </si>
  <si>
    <t xml:space="preserve">MA price, FY2027E</t>
  </si>
  <si>
    <t xml:space="preserve">MA price, FY2028E</t>
  </si>
  <si>
    <t xml:space="preserve">AS growth, FY2023A</t>
  </si>
  <si>
    <t xml:space="preserve">AS growth, FY2024A</t>
  </si>
  <si>
    <t xml:space="preserve">AS growth, FY2025A</t>
  </si>
  <si>
    <t xml:space="preserve">AS growth, FY2026E</t>
  </si>
  <si>
    <t xml:space="preserve">AS growth, FY2027E</t>
  </si>
  <si>
    <t xml:space="preserve">AS growth, FY2028E</t>
  </si>
  <si>
    <t xml:space="preserve">AS volume, FY2023A</t>
  </si>
  <si>
    <t xml:space="preserve">AS volume, FY2024A</t>
  </si>
  <si>
    <t xml:space="preserve">AS volume, FY2025A</t>
  </si>
  <si>
    <t xml:space="preserve">AS volume, FY2026E</t>
  </si>
  <si>
    <t xml:space="preserve">AS volume, FY2027E</t>
  </si>
  <si>
    <t xml:space="preserve">AS volume, FY2028E</t>
  </si>
  <si>
    <t xml:space="preserve">AS price, FY2023A</t>
  </si>
  <si>
    <t xml:space="preserve">AS price, FY2024A</t>
  </si>
  <si>
    <t xml:space="preserve">AS price, FY2025A</t>
  </si>
  <si>
    <t xml:space="preserve">AS price, FY2026E</t>
  </si>
  <si>
    <t xml:space="preserve">AS price, FY2027E</t>
  </si>
  <si>
    <t xml:space="preserve">AS price, FY2028E</t>
  </si>
  <si>
    <t xml:space="preserve">FC segment margin, FY2023A</t>
  </si>
  <si>
    <t xml:space="preserve">FC segment margin, FY2024A</t>
  </si>
  <si>
    <t xml:space="preserve">FC segment margin, FY2025A</t>
  </si>
  <si>
    <t xml:space="preserve">FC segment margin, FY2026E</t>
  </si>
  <si>
    <t xml:space="preserve">FC segment margin, FY2027E</t>
  </si>
  <si>
    <t xml:space="preserve">FC segment margin, FY2028E</t>
  </si>
  <si>
    <t xml:space="preserve">FC segment operating profit, FY2023A</t>
  </si>
  <si>
    <t xml:space="preserve">FC segment operating profit, FY2024A</t>
  </si>
  <si>
    <t xml:space="preserve">FC segment operating profit, FY2025A</t>
  </si>
  <si>
    <t xml:space="preserve">FC segment operating profit, FY2026E</t>
  </si>
  <si>
    <t xml:space="preserve">FC segment operating profit, FY2027E</t>
  </si>
  <si>
    <t xml:space="preserve">FC segment operating profit, FY2028E</t>
  </si>
  <si>
    <t xml:space="preserve">MA segment margin, FY2023A</t>
  </si>
  <si>
    <t xml:space="preserve">MA segment margin, FY2024A</t>
  </si>
  <si>
    <t xml:space="preserve">MA segment margin, FY2025A</t>
  </si>
  <si>
    <t xml:space="preserve">MA segment margin, FY2026E</t>
  </si>
  <si>
    <t xml:space="preserve">MA segment margin, FY2027E</t>
  </si>
  <si>
    <t xml:space="preserve">MA segment margin, FY2028E</t>
  </si>
  <si>
    <t xml:space="preserve">MA segment operating profit, FY2023A</t>
  </si>
  <si>
    <t xml:space="preserve">MA segment operating profit, FY2024A</t>
  </si>
  <si>
    <t xml:space="preserve">MA segment operating profit, FY2025A</t>
  </si>
  <si>
    <t xml:space="preserve">MA segment operating profit, FY2026E</t>
  </si>
  <si>
    <t xml:space="preserve">MA segment operating profit, FY2027E</t>
  </si>
  <si>
    <t xml:space="preserve">MA segment operating profit, FY2028E</t>
  </si>
  <si>
    <t xml:space="preserve">AS segment margin, FY2023A</t>
  </si>
  <si>
    <t xml:space="preserve">AS segment margin, FY2024A</t>
  </si>
  <si>
    <t xml:space="preserve">AS segment margin, FY2025A</t>
  </si>
  <si>
    <t xml:space="preserve">AS segment margin, FY2026E</t>
  </si>
  <si>
    <t xml:space="preserve">AS segment margin, FY2027E</t>
  </si>
  <si>
    <t xml:space="preserve">AS segment margin, FY2028E</t>
  </si>
  <si>
    <t xml:space="preserve">AS segment operating profit, FY2023A</t>
  </si>
  <si>
    <t xml:space="preserve">AS segment operating profit, FY2024A</t>
  </si>
  <si>
    <t xml:space="preserve">AS segment operating profit, FY2025A</t>
  </si>
  <si>
    <t xml:space="preserve">AS segment operating profit, FY2026E</t>
  </si>
  <si>
    <t xml:space="preserve">AS segment operating profit, FY2027E</t>
  </si>
  <si>
    <t xml:space="preserve">AS segment operating profit, FY2028E</t>
  </si>
  <si>
    <t xml:space="preserve">Sum of segment operating profit, FY2023A</t>
  </si>
  <si>
    <t xml:space="preserve">Sum of segment operating profit, FY2024A</t>
  </si>
  <si>
    <t xml:space="preserve">Sum of segment operating profit, FY2025A</t>
  </si>
  <si>
    <t xml:space="preserve">Sum of segment operating profit, FY2026E</t>
  </si>
  <si>
    <t xml:space="preserve">Sum of segment operating profit, FY2027E</t>
  </si>
  <si>
    <t xml:space="preserve">Sum of segment operating profit, FY2028E</t>
  </si>
  <si>
    <t xml:space="preserve">Corporate costs, FY2023A</t>
  </si>
  <si>
    <t xml:space="preserve">Corporate costs, FY2024A</t>
  </si>
  <si>
    <t xml:space="preserve">Corporate costs, FY2025A</t>
  </si>
  <si>
    <t xml:space="preserve">Corporate costs, FY2026E</t>
  </si>
  <si>
    <t xml:space="preserve">Corporate costs, FY2027E</t>
  </si>
  <si>
    <t xml:space="preserve">Corporate costs, FY2028E</t>
  </si>
  <si>
    <t xml:space="preserve">ADJUSTED operating income (adjusted EBIT), FY2023A</t>
  </si>
  <si>
    <t xml:space="preserve">ADJUSTED operating income (adjusted EBIT), FY2024A</t>
  </si>
  <si>
    <t xml:space="preserve">ADJUSTED operating income (adjusted EBIT), FY2025A</t>
  </si>
  <si>
    <t xml:space="preserve">ADJUSTED operating income (adjusted EBIT), FY2026E</t>
  </si>
  <si>
    <t xml:space="preserve">ADJUSTED operating income (adjusted EBIT), FY2027E</t>
  </si>
  <si>
    <t xml:space="preserve">ADJUSTED operating income (adjusted EBIT), FY2028E</t>
  </si>
  <si>
    <t xml:space="preserve">Adjusted operating margin, FY2023A</t>
  </si>
  <si>
    <t xml:space="preserve">Adjusted operating margin, FY2024A</t>
  </si>
  <si>
    <t xml:space="preserve">Adjusted operating margin, FY2025A</t>
  </si>
  <si>
    <t xml:space="preserve">Adjusted operating margin, FY2026E</t>
  </si>
  <si>
    <t xml:space="preserve">Adjusted operating margin, FY2027E</t>
  </si>
  <si>
    <t xml:space="preserve">Adjusted operating margin, FY2028E</t>
  </si>
  <si>
    <t xml:space="preserve">Depreciation, FY2023A</t>
  </si>
  <si>
    <t xml:space="preserve">Depreciation, FY2024A</t>
  </si>
  <si>
    <t xml:space="preserve">Depreciation, FY2025A</t>
  </si>
  <si>
    <t xml:space="preserve">Depreciation, FY2026E</t>
  </si>
  <si>
    <t xml:space="preserve">Depreciation, FY2027E</t>
  </si>
  <si>
    <t xml:space="preserve">Depreciation, FY2028E</t>
  </si>
  <si>
    <t xml:space="preserve">ADJUSTED EBITDA (adjusted EBIT + depreciation), FY2023A</t>
  </si>
  <si>
    <t xml:space="preserve">ADJUSTED EBITDA (adjusted EBIT + depreciation), FY2024A</t>
  </si>
  <si>
    <t xml:space="preserve">ADJUSTED EBITDA (adjusted EBIT + depreciation), FY2025A</t>
  </si>
  <si>
    <t xml:space="preserve">ADJUSTED EBITDA (adjusted EBIT + depreciation), FY2026E</t>
  </si>
  <si>
    <t xml:space="preserve">ADJUSTED EBITDA (adjusted EBIT + depreciation), FY2027E</t>
  </si>
  <si>
    <t xml:space="preserve">ADJUSTED EBITDA (adjusted EBIT + depreciation), FY2028E</t>
  </si>
  <si>
    <t xml:space="preserve">Amortization of acquired intangibles, FY2023A</t>
  </si>
  <si>
    <t xml:space="preserve">Amortization of acquired intangibles, FY2024A</t>
  </si>
  <si>
    <t xml:space="preserve">Amortization of acquired intangibles, FY2025A</t>
  </si>
  <si>
    <t xml:space="preserve">Amortization of acquired intangibles, FY2026E</t>
  </si>
  <si>
    <t xml:space="preserve">Amortization of acquired intangibles, FY2027E</t>
  </si>
  <si>
    <t xml:space="preserve">Amortization of acquired intangibles, FY2028E</t>
  </si>
  <si>
    <t xml:space="preserve">Restructuring charges, FY2023A</t>
  </si>
  <si>
    <t xml:space="preserve">Restructuring charges, FY2024A</t>
  </si>
  <si>
    <t xml:space="preserve">Restructuring charges, FY2025A</t>
  </si>
  <si>
    <t xml:space="preserve">Restructuring charges, FY2026E</t>
  </si>
  <si>
    <t xml:space="preserve">Restructuring charges, FY2027E</t>
  </si>
  <si>
    <t xml:space="preserve">Restructuring charges, FY2028E</t>
  </si>
  <si>
    <t xml:space="preserve">REPORTED operating income, FY2023A</t>
  </si>
  <si>
    <t xml:space="preserve">REPORTED operating income, FY2024A</t>
  </si>
  <si>
    <t xml:space="preserve">REPORTED operating income, FY2025A</t>
  </si>
  <si>
    <t xml:space="preserve">REPORTED operating income, FY2026E</t>
  </si>
  <si>
    <t xml:space="preserve">REPORTED operating income, FY2027E</t>
  </si>
  <si>
    <t xml:space="preserve">REPORTED operating income, FY2028E</t>
  </si>
  <si>
    <t xml:space="preserve">Net interest expense, FY2023A</t>
  </si>
  <si>
    <t xml:space="preserve">Net interest expense, FY2024A</t>
  </si>
  <si>
    <t xml:space="preserve">Net interest expense, FY2025A</t>
  </si>
  <si>
    <t xml:space="preserve">Net interest expense, FY2026E</t>
  </si>
  <si>
    <t xml:space="preserve">Net interest expense, FY2027E</t>
  </si>
  <si>
    <t xml:space="preserve">Net interest expense, FY2028E</t>
  </si>
  <si>
    <t xml:space="preserve">Pretax income, FY2023A</t>
  </si>
  <si>
    <t xml:space="preserve">Pretax income, FY2024A</t>
  </si>
  <si>
    <t xml:space="preserve">Pretax income, FY2025A</t>
  </si>
  <si>
    <t xml:space="preserve">Pretax income, FY2026E</t>
  </si>
  <si>
    <t xml:space="preserve">Pretax income, FY2027E</t>
  </si>
  <si>
    <t xml:space="preserve">Pretax income, FY2028E</t>
  </si>
  <si>
    <t xml:space="preserve">Income tax, FY2023A</t>
  </si>
  <si>
    <t xml:space="preserve">Income tax, FY2024A</t>
  </si>
  <si>
    <t xml:space="preserve">Income tax, FY2025A</t>
  </si>
  <si>
    <t xml:space="preserve">Income tax, FY2026E</t>
  </si>
  <si>
    <t xml:space="preserve">Income tax, FY2027E</t>
  </si>
  <si>
    <t xml:space="preserve">Income tax, FY2028E</t>
  </si>
  <si>
    <t xml:space="preserve">Net income (reported), FY2023A</t>
  </si>
  <si>
    <t xml:space="preserve">Net income (reported), FY2024A</t>
  </si>
  <si>
    <t xml:space="preserve">Net income (reported), FY2025A</t>
  </si>
  <si>
    <t xml:space="preserve">Net income (reported), FY2026E</t>
  </si>
  <si>
    <t xml:space="preserve">Net income (reported), FY2027E</t>
  </si>
  <si>
    <t xml:space="preserve">Net income (reported), FY2028E</t>
  </si>
  <si>
    <t xml:space="preserve">Diluted shares (millions), FY2023A</t>
  </si>
  <si>
    <t xml:space="preserve">Diluted shares (millions), FY2024A</t>
  </si>
  <si>
    <t xml:space="preserve">Diluted shares (millions), FY2025A</t>
  </si>
  <si>
    <t xml:space="preserve">Diluted shares (millions), FY2026E</t>
  </si>
  <si>
    <t xml:space="preserve">Diluted shares (millions), FY2027E</t>
  </si>
  <si>
    <t xml:space="preserve">Diluted shares (millions), FY2028E</t>
  </si>
  <si>
    <t xml:space="preserve">REPORTED EPS ($), FY2023A</t>
  </si>
  <si>
    <t xml:space="preserve">REPORTED EPS ($), FY2024A</t>
  </si>
  <si>
    <t xml:space="preserve">REPORTED EPS ($), FY2025A</t>
  </si>
  <si>
    <t xml:space="preserve">REPORTED EPS ($), FY2026E</t>
  </si>
  <si>
    <t xml:space="preserve">REPORTED EPS ($), FY2027E</t>
  </si>
  <si>
    <t xml:space="preserve">REPORTED EPS ($), FY2028E</t>
  </si>
  <si>
    <t xml:space="preserve">After-tax adjusting items ($m), FY2023A</t>
  </si>
  <si>
    <t xml:space="preserve">After-tax adjusting items ($m), FY2024A</t>
  </si>
  <si>
    <t xml:space="preserve">After-tax adjusting items ($m), FY2025A</t>
  </si>
  <si>
    <t xml:space="preserve">After-tax adjusting items ($m), FY2026E</t>
  </si>
  <si>
    <t xml:space="preserve">After-tax adjusting items ($m), FY2027E</t>
  </si>
  <si>
    <t xml:space="preserve">After-tax adjusting items ($m), FY2028E</t>
  </si>
  <si>
    <t xml:space="preserve">Adjusted net income, FY2023A</t>
  </si>
  <si>
    <t xml:space="preserve">Adjusted net income, FY2024A</t>
  </si>
  <si>
    <t xml:space="preserve">Adjusted net income, FY2025A</t>
  </si>
  <si>
    <t xml:space="preserve">Adjusted net income, FY2026E</t>
  </si>
  <si>
    <t xml:space="preserve">Adjusted net income, FY2027E</t>
  </si>
  <si>
    <t xml:space="preserve">Adjusted net income, FY2028E</t>
  </si>
  <si>
    <t xml:space="preserve">ADJUSTED EPS ($), FY2023A</t>
  </si>
  <si>
    <t xml:space="preserve">ADJUSTED EPS ($), FY2024A</t>
  </si>
  <si>
    <t xml:space="preserve">ADJUSTED EPS ($), FY2025A</t>
  </si>
  <si>
    <t xml:space="preserve">ADJUSTED EPS ($), FY2026E</t>
  </si>
  <si>
    <t xml:space="preserve">ADJUSTED EPS ($), FY2027E</t>
  </si>
  <si>
    <t xml:space="preserve">ADJUSTED EPS ($), FY2028E</t>
  </si>
  <si>
    <t xml:space="preserve">Adjusted EPS growth, FY2024A</t>
  </si>
  <si>
    <t xml:space="preserve">Adjusted EPS growth, FY2025A</t>
  </si>
  <si>
    <t xml:space="preserve">Adjusted EPS growth, FY2026E</t>
  </si>
  <si>
    <t xml:space="preserve">Adjusted EPS growth, FY2027E</t>
  </si>
  <si>
    <t xml:space="preserve">Adjusted EPS growth, FY2028E</t>
  </si>
  <si>
    <t xml:space="preserve">Capex, FY2023A</t>
  </si>
  <si>
    <t xml:space="preserve">Capex, FY2024A</t>
  </si>
  <si>
    <t xml:space="preserve">Capex, FY2025A</t>
  </si>
  <si>
    <t xml:space="preserve">Capex, FY2026E</t>
  </si>
  <si>
    <t xml:space="preserve">Capex, FY2027E</t>
  </si>
  <si>
    <t xml:space="preserve">Capex, FY2028E</t>
  </si>
  <si>
    <t xml:space="preserve">Change in net working capital, FY2023A</t>
  </si>
  <si>
    <t xml:space="preserve">Change in net working capital, FY2024A</t>
  </si>
  <si>
    <t xml:space="preserve">Change in net working capital, FY2025A</t>
  </si>
  <si>
    <t xml:space="preserve">Change in net working capital, FY2026E</t>
  </si>
  <si>
    <t xml:space="preserve">Change in net working capital, FY2027E</t>
  </si>
  <si>
    <t xml:space="preserve">Change in net working capital, FY2028E</t>
  </si>
  <si>
    <t xml:space="preserve">FREE CASH FLOW, FY2023A</t>
  </si>
  <si>
    <t xml:space="preserve">FREE CASH FLOW, FY2024A</t>
  </si>
  <si>
    <t xml:space="preserve">FREE CASH FLOW, FY2025A</t>
  </si>
  <si>
    <t xml:space="preserve">FREE CASH FLOW, FY2026E</t>
  </si>
  <si>
    <t xml:space="preserve">FREE CASH FLOW, FY2027E</t>
  </si>
  <si>
    <t xml:space="preserve">FREE CASH FLOW, FY2028E</t>
  </si>
  <si>
    <t xml:space="preserve">FCF conversion (FCF / adjusted net income), FY2023A</t>
  </si>
  <si>
    <t xml:space="preserve">FCF conversion (FCF / adjusted net income), FY2024A</t>
  </si>
  <si>
    <t xml:space="preserve">FCF conversion (FCF / adjusted net income), FY2025A</t>
  </si>
  <si>
    <t xml:space="preserve">FCF conversion (FCF / adjusted net income), FY2026E</t>
  </si>
  <si>
    <t xml:space="preserve">FCF conversion (FCF / adjusted net income), FY2027E</t>
  </si>
  <si>
    <t xml:space="preserve">FCF conversion (FCF / adjusted net income), FY2028E</t>
  </si>
  <si>
    <t xml:space="preserve">FCF per share ($), FY2023A</t>
  </si>
  <si>
    <t xml:space="preserve">FCF per share ($), FY2024A</t>
  </si>
  <si>
    <t xml:space="preserve">FCF per share ($), FY2025A</t>
  </si>
  <si>
    <t xml:space="preserve">FCF per share ($), FY2026E</t>
  </si>
  <si>
    <t xml:space="preserve">FCF per share ($), FY2027E</t>
  </si>
  <si>
    <t xml:space="preserve">FCF per share ($), FY2028E</t>
  </si>
  <si>
    <t xml:space="preserve">Dividend per share ($), FY2023A</t>
  </si>
  <si>
    <t xml:space="preserve">Dividend per share ($), FY2024A</t>
  </si>
  <si>
    <t xml:space="preserve">Dividend per share ($), FY2025A</t>
  </si>
  <si>
    <t xml:space="preserve">Dividend per share ($), FY2026E</t>
  </si>
  <si>
    <t xml:space="preserve">Dividend per share ($), FY2027E</t>
  </si>
  <si>
    <t xml:space="preserve">Dividend per share ($), FY2028E</t>
  </si>
  <si>
    <t xml:space="preserve">Dividends paid, FY2023A</t>
  </si>
  <si>
    <t xml:space="preserve">Dividends paid, FY2024A</t>
  </si>
  <si>
    <t xml:space="preserve">Dividends paid, FY2025A</t>
  </si>
  <si>
    <t xml:space="preserve">Dividends paid, FY2026E</t>
  </si>
  <si>
    <t xml:space="preserve">Dividends paid, FY2027E</t>
  </si>
  <si>
    <t xml:space="preserve">Dividends paid, FY2028E</t>
  </si>
  <si>
    <t xml:space="preserve">Net debt at year end, FY2023A</t>
  </si>
  <si>
    <t xml:space="preserve">Net debt at year end, FY2024A</t>
  </si>
  <si>
    <t xml:space="preserve">Net debt at year end, FY2025A</t>
  </si>
  <si>
    <t xml:space="preserve">Net debt at year end, FY2026E</t>
  </si>
  <si>
    <t xml:space="preserve">Net debt at year end, FY2027E</t>
  </si>
  <si>
    <t xml:space="preserve">Net debt at year end, FY2028E</t>
  </si>
  <si>
    <t xml:space="preserve">Net debt / adjusted EBITDA (x), FY2023A</t>
  </si>
  <si>
    <t xml:space="preserve">Net debt / adjusted EBITDA (x), FY2024A</t>
  </si>
  <si>
    <t xml:space="preserve">Net debt / adjusted EBITDA (x), FY2025A</t>
  </si>
  <si>
    <t xml:space="preserve">Net debt / adjusted EBITDA (x), FY2026E</t>
  </si>
  <si>
    <t xml:space="preserve">Net debt / adjusted EBITDA (x), FY2027E</t>
  </si>
  <si>
    <t xml:space="preserve">Net debt / adjusted EBITDA (x), FY2028E</t>
  </si>
  <si>
    <t xml:space="preserve">Incremental margin FC, FY2024A</t>
  </si>
  <si>
    <t xml:space="preserve">Incremental margin FC, FY2025A</t>
  </si>
  <si>
    <t xml:space="preserve">Incremental margin FC, FY2026E</t>
  </si>
  <si>
    <t xml:space="preserve">Incremental margin FC, FY2027E</t>
  </si>
  <si>
    <t xml:space="preserve">Incremental margin FC, FY2028E</t>
  </si>
  <si>
    <t xml:space="preserve">Incremental margin MA, FY2024A</t>
  </si>
  <si>
    <t xml:space="preserve">Incremental margin MA, FY2025A</t>
  </si>
  <si>
    <t xml:space="preserve">Incremental margin MA, FY2026E</t>
  </si>
  <si>
    <t xml:space="preserve">Incremental margin MA, FY2027E</t>
  </si>
  <si>
    <t xml:space="preserve">Incremental margin MA, FY2028E</t>
  </si>
  <si>
    <t xml:space="preserve">Incremental margin AS, FY2024A</t>
  </si>
  <si>
    <t xml:space="preserve">Incremental margin AS, FY2025A</t>
  </si>
  <si>
    <t xml:space="preserve">Incremental margin AS, FY2026E</t>
  </si>
  <si>
    <t xml:space="preserve">Incremental margin AS, FY2027E</t>
  </si>
  <si>
    <t xml:space="preserve">Incremental margin AS, FY2028E</t>
  </si>
  <si>
    <t xml:space="preserve">Incremental margin adjusted EBIT, FY2024A</t>
  </si>
  <si>
    <t xml:space="preserve">Incremental margin adjusted EBIT, FY2025A</t>
  </si>
  <si>
    <t xml:space="preserve">Incremental margin adjusted EBIT, FY2026E</t>
  </si>
  <si>
    <t xml:space="preserve">Incremental margin adjusted EBIT, FY2027E</t>
  </si>
  <si>
    <t xml:space="preserve">Incremental margin adjusted EBIT, FY2028E</t>
  </si>
  <si>
    <t xml:space="preserve">Revenue mix FY2025A: FC</t>
  </si>
  <si>
    <t xml:space="preserve">Revenue mix FY2025A: MA</t>
  </si>
  <si>
    <t xml:space="preserve">Revenue mix FY2025A: AS</t>
  </si>
  <si>
    <t xml:space="preserve">Revenue mix FY2028E: FC</t>
  </si>
  <si>
    <t xml:space="preserve">Revenue mix FY2028E: MA</t>
  </si>
  <si>
    <t xml:space="preserve">Revenue mix FY2028E: AS</t>
  </si>
  <si>
    <t xml:space="preserve">Share of segment profit FY2025A: FC</t>
  </si>
  <si>
    <t xml:space="preserve">Share of segment profit FY2025A: MA</t>
  </si>
  <si>
    <t xml:space="preserve">Share of segment profit FY2025A: AS</t>
  </si>
  <si>
    <t xml:space="preserve">Adjusted EPS compound growth FY2025A-FY2028E</t>
  </si>
  <si>
    <t xml:space="preserve">Revenue compound growth FY2025A-FY2028E</t>
  </si>
  <si>
    <t xml:space="preserve">Bridge FY2023: reported EPS to three decimals</t>
  </si>
  <si>
    <t xml:space="preserve">Bridge FY2023: amortization after tax per share, three decimals</t>
  </si>
  <si>
    <t xml:space="preserve">Bridge FY2023: restructuring after tax per share, three decimals</t>
  </si>
  <si>
    <t xml:space="preserve">Bridge FY2023: adjusted EPS to three decimals</t>
  </si>
  <si>
    <t xml:space="preserve">Bridge FY2023: amortization after tax per share</t>
  </si>
  <si>
    <t xml:space="preserve">Bridge FY2023: restructuring after tax per share</t>
  </si>
  <si>
    <t xml:space="preserve">Bridge FY2023: adjusted above reported, % of reported</t>
  </si>
  <si>
    <t xml:space="preserve">Bridge FY2024: reported EPS to three decimals</t>
  </si>
  <si>
    <t xml:space="preserve">Bridge FY2024: amortization after tax per share, three decimals</t>
  </si>
  <si>
    <t xml:space="preserve">Bridge FY2024: restructuring after tax per share, three decimals</t>
  </si>
  <si>
    <t xml:space="preserve">Bridge FY2024: adjusted EPS to three decimals</t>
  </si>
  <si>
    <t xml:space="preserve">Bridge FY2024: amortization after tax per share</t>
  </si>
  <si>
    <t xml:space="preserve">Bridge FY2024: restructuring after tax per share</t>
  </si>
  <si>
    <t xml:space="preserve">Bridge FY2024: adjusted above reported, % of reported</t>
  </si>
  <si>
    <t xml:space="preserve">Bridge FY2025: reported EPS to three decimals</t>
  </si>
  <si>
    <t xml:space="preserve">Bridge FY2025: amortization after tax per share, three decimals</t>
  </si>
  <si>
    <t xml:space="preserve">Bridge FY2025: restructuring after tax per share, three decimals</t>
  </si>
  <si>
    <t xml:space="preserve">Bridge FY2025: adjusted EPS to three decimals</t>
  </si>
  <si>
    <t xml:space="preserve">Bridge FY2025: amortization after tax per share</t>
  </si>
  <si>
    <t xml:space="preserve">Bridge FY2025: restructuring after tax per share</t>
  </si>
  <si>
    <t xml:space="preserve">Bridge FY2025: adjusted above reported, % of reported</t>
  </si>
  <si>
    <t xml:space="preserve">Bridge FY2026: reported EPS to three decimals</t>
  </si>
  <si>
    <t xml:space="preserve">Bridge FY2026: amortization after tax per share, three decimals</t>
  </si>
  <si>
    <t xml:space="preserve">Bridge FY2026: restructuring after tax per share, three decimals</t>
  </si>
  <si>
    <t xml:space="preserve">Bridge FY2026: adjusted EPS to three decimals</t>
  </si>
  <si>
    <t xml:space="preserve">Bridge FY2026: amortization after tax per share</t>
  </si>
  <si>
    <t xml:space="preserve">Bridge FY2026: restructuring after tax per share</t>
  </si>
  <si>
    <t xml:space="preserve">Bridge FY2026: adjusted above reported, % of reported</t>
  </si>
  <si>
    <t xml:space="preserve">Bridge FY2027: reported EPS to three decimals</t>
  </si>
  <si>
    <t xml:space="preserve">Bridge FY2027: amortization after tax per share, three decimals</t>
  </si>
  <si>
    <t xml:space="preserve">Bridge FY2027: restructuring after tax per share, three decimals</t>
  </si>
  <si>
    <t xml:space="preserve">Bridge FY2027: adjusted EPS to three decimals</t>
  </si>
  <si>
    <t xml:space="preserve">Bridge FY2027: amortization after tax per share</t>
  </si>
  <si>
    <t xml:space="preserve">Bridge FY2027: restructuring after tax per share</t>
  </si>
  <si>
    <t xml:space="preserve">Bridge FY2027: adjusted above reported, % of reported</t>
  </si>
  <si>
    <t xml:space="preserve">Bridge FY2028: reported EPS to three decimals</t>
  </si>
  <si>
    <t xml:space="preserve">Bridge FY2028: amortization after tax per share, three decimals</t>
  </si>
  <si>
    <t xml:space="preserve">Bridge FY2028: restructuring after tax per share, three decimals</t>
  </si>
  <si>
    <t xml:space="preserve">Bridge FY2028: adjusted EPS to three decimals</t>
  </si>
  <si>
    <t xml:space="preserve">Bridge FY2028: amortization after tax per share</t>
  </si>
  <si>
    <t xml:space="preserve">Bridge FY2028: restructuring after tax per share</t>
  </si>
  <si>
    <t xml:space="preserve">Bridge FY2028: adjusted above reported, % of reported</t>
  </si>
  <si>
    <t xml:space="preserve">Restructuring FY2024A-FY2026E, total ($m)</t>
  </si>
  <si>
    <t xml:space="preserve">Restructuring-inclusive FY2026E EPS</t>
  </si>
  <si>
    <t xml:space="preserve">Valuation</t>
  </si>
  <si>
    <t xml:space="preserve">Market capitalization ($m)</t>
  </si>
  <si>
    <t xml:space="preserve">Enterprise value at the price ($m)</t>
  </si>
  <si>
    <t xml:space="preserve">P/E FY2026E at the price</t>
  </si>
  <si>
    <t xml:space="preserve">P/E FY2027E at the price</t>
  </si>
  <si>
    <t xml:space="preserve">EV/adjusted EBITDA FY2027E at the price</t>
  </si>
  <si>
    <t xml:space="preserve">Dividend yield FY2026E</t>
  </si>
  <si>
    <t xml:space="preserve">Peer median P/E</t>
  </si>
  <si>
    <t xml:space="preserve">Peer median EV/EBITDA</t>
  </si>
  <si>
    <t xml:space="preserve">Peer median growth</t>
  </si>
  <si>
    <t xml:space="preserve">Peer median margin</t>
  </si>
  <si>
    <t xml:space="preserve">Peer P/E low</t>
  </si>
  <si>
    <t xml:space="preserve">Peer P/E high</t>
  </si>
  <si>
    <t xml:space="preserve">Halvorsen revenue growth FY2025-28 a year</t>
  </si>
  <si>
    <t xml:space="preserve">Halvorsen adjusted EBIT margin FY2027E</t>
  </si>
  <si>
    <t xml:space="preserve">Halvorsen P/E gap to the peer median</t>
  </si>
  <si>
    <t xml:space="preserve">MA and AS share of FY2025A revenue</t>
  </si>
  <si>
    <t xml:space="preserve">MA and AS share of FY2025A segment profit</t>
  </si>
  <si>
    <t xml:space="preserve">Method 1: P/E value</t>
  </si>
  <si>
    <t xml:space="preserve">Method 1: price target</t>
  </si>
  <si>
    <t xml:space="preserve">Method 2: enterprise value ($m)</t>
  </si>
  <si>
    <t xml:space="preserve">Method 2: equity value ($m)</t>
  </si>
  <si>
    <t xml:space="preserve">Method 2: value per share</t>
  </si>
  <si>
    <t xml:space="preserve">SOTP Flow Control: segment profit FY2027E</t>
  </si>
  <si>
    <t xml:space="preserve">SOTP Flow Control: value</t>
  </si>
  <si>
    <t xml:space="preserve">SOTP Flow Control: share of the three segments</t>
  </si>
  <si>
    <t xml:space="preserve">SOTP Measurement &amp; Analytics: segment profit FY2027E</t>
  </si>
  <si>
    <t xml:space="preserve">SOTP Measurement &amp; Analytics: value</t>
  </si>
  <si>
    <t xml:space="preserve">SOTP Measurement &amp; Analytics: share of the three segments</t>
  </si>
  <si>
    <t xml:space="preserve">SOTP Aftermarket Services: segment profit FY2027E</t>
  </si>
  <si>
    <t xml:space="preserve">SOTP Aftermarket Services: value</t>
  </si>
  <si>
    <t xml:space="preserve">SOTP Aftermarket Services: share of the three segments</t>
  </si>
  <si>
    <t xml:space="preserve">SOTP: three segments' value</t>
  </si>
  <si>
    <t xml:space="preserve">SOTP: corporate costs</t>
  </si>
  <si>
    <t xml:space="preserve">SOTP: enterprise value</t>
  </si>
  <si>
    <t xml:space="preserve">SOTP: equity value</t>
  </si>
  <si>
    <t xml:space="preserve">SOTP: value per share</t>
  </si>
  <si>
    <t xml:space="preserve">SOTP: implied EV/adjusted EBIT</t>
  </si>
  <si>
    <t xml:space="preserve">WACC</t>
  </si>
  <si>
    <t xml:space="preserve">DCF FY2026E: unlevered FCF</t>
  </si>
  <si>
    <t xml:space="preserve">DCF FY2026E: present value</t>
  </si>
  <si>
    <t xml:space="preserve">DCF FY2027E: unlevered FCF</t>
  </si>
  <si>
    <t xml:space="preserve">DCF FY2027E: present value</t>
  </si>
  <si>
    <t xml:space="preserve">DCF FY2028E: unlevered FCF</t>
  </si>
  <si>
    <t xml:space="preserve">DCF FY2028E: present value</t>
  </si>
  <si>
    <t xml:space="preserve">DCF FY2029E: unlevered FCF</t>
  </si>
  <si>
    <t xml:space="preserve">DCF FY2029E: present value</t>
  </si>
  <si>
    <t xml:space="preserve">DCF FY2030E: unlevered FCF</t>
  </si>
  <si>
    <t xml:space="preserve">DCF FY2030E: present value</t>
  </si>
  <si>
    <t xml:space="preserve">DCF FY2029E revenue</t>
  </si>
  <si>
    <t xml:space="preserve">DCF FY2029E adjusted EBIT</t>
  </si>
  <si>
    <t xml:space="preserve">DCF FY2029E reported EBIT</t>
  </si>
  <si>
    <t xml:space="preserve">DCF FY2030E revenue</t>
  </si>
  <si>
    <t xml:space="preserve">DCF FY2030E adjusted EBIT</t>
  </si>
  <si>
    <t xml:space="preserve">DCF FY2030E reported EBIT</t>
  </si>
  <si>
    <t xml:space="preserve">DCF: sum of present values</t>
  </si>
  <si>
    <t xml:space="preserve">DCF: terminal value</t>
  </si>
  <si>
    <t xml:space="preserve">DCF: present value of terminal value</t>
  </si>
  <si>
    <t xml:space="preserve">DCF: enterprise value</t>
  </si>
  <si>
    <t xml:space="preserve">DCF: terminal value share of EV</t>
  </si>
  <si>
    <t xml:space="preserve">DCF: equity value</t>
  </si>
  <si>
    <t xml:space="preserve">DCF: value per share today</t>
  </si>
  <si>
    <t xml:space="preserve">DCF: rolled forward 12 months</t>
  </si>
  <si>
    <t xml:space="preserve">Reverse DCF: implied terminal growth</t>
  </si>
  <si>
    <t xml:space="preserve">Reverse DCF: implied WACC</t>
  </si>
  <si>
    <t xml:space="preserve">Reverse DCF: value at the implied growth equals the price</t>
  </si>
  <si>
    <t xml:space="preserve">Reverse DCF: value at the implied WACC equals the price</t>
  </si>
  <si>
    <t xml:space="preserve">Range of methods: low</t>
  </si>
  <si>
    <t xml:space="preserve">Range of methods: high</t>
  </si>
  <si>
    <t xml:space="preserve">Range of methods: spread of the low</t>
  </si>
  <si>
    <t xml:space="preserve">EV/EBITDA implied by the $101 target</t>
  </si>
  <si>
    <t xml:space="preserve">Dividend yield</t>
  </si>
  <si>
    <t xml:space="preserve">Expected 12-month total return</t>
  </si>
  <si>
    <t xml:space="preserve">Rating at initiation</t>
  </si>
  <si>
    <t xml:space="preserve">Hold line price</t>
  </si>
  <si>
    <t xml:space="preserve">Coverage: Buy share</t>
  </si>
  <si>
    <t xml:space="preserve">Coverage: Hold share</t>
  </si>
  <si>
    <t xml:space="preserve">Coverage: Sell share</t>
  </si>
  <si>
    <t xml:space="preserve">Coverage: IB clients among Buys</t>
  </si>
  <si>
    <t xml:space="preserve">Coverage: IB clients among Holds</t>
  </si>
  <si>
    <t xml:space="preserve">Coverage: stocks covered</t>
  </si>
  <si>
    <t xml:space="preserve">Sensitivity</t>
  </si>
  <si>
    <t xml:space="preserve">Price target grid 17x, EPS shift 1 of 5</t>
  </si>
  <si>
    <t xml:space="preserve">Price target grid 17x, EPS shift 2 of 5</t>
  </si>
  <si>
    <t xml:space="preserve">Price target grid 17x, EPS shift 3 of 5</t>
  </si>
  <si>
    <t xml:space="preserve">Price target grid 17x, EPS shift 4 of 5</t>
  </si>
  <si>
    <t xml:space="preserve">Price target grid 17x, EPS shift 5 of 5</t>
  </si>
  <si>
    <t xml:space="preserve">Price target grid 18x, EPS shift 1 of 5</t>
  </si>
  <si>
    <t xml:space="preserve">Price target grid 18x, EPS shift 2 of 5</t>
  </si>
  <si>
    <t xml:space="preserve">Price target grid 18x, EPS shift 3 of 5</t>
  </si>
  <si>
    <t xml:space="preserve">Price target grid 18x, EPS shift 4 of 5</t>
  </si>
  <si>
    <t xml:space="preserve">Price target grid 18x, EPS shift 5 of 5</t>
  </si>
  <si>
    <t xml:space="preserve">Price target grid 19x, EPS shift 1 of 5</t>
  </si>
  <si>
    <t xml:space="preserve">Price target grid 19x, EPS shift 2 of 5</t>
  </si>
  <si>
    <t xml:space="preserve">Price target grid 19x, EPS shift 3 of 5</t>
  </si>
  <si>
    <t xml:space="preserve">Price target grid 19x, EPS shift 4 of 5</t>
  </si>
  <si>
    <t xml:space="preserve">Price target grid 19x, EPS shift 5 of 5</t>
  </si>
  <si>
    <t xml:space="preserve">Price target grid 20x, EPS shift 1 of 5</t>
  </si>
  <si>
    <t xml:space="preserve">Price target grid 20x, EPS shift 2 of 5</t>
  </si>
  <si>
    <t xml:space="preserve">Price target grid 20x, EPS shift 3 of 5</t>
  </si>
  <si>
    <t xml:space="preserve">Price target grid 20x, EPS shift 4 of 5</t>
  </si>
  <si>
    <t xml:space="preserve">Price target grid 20x, EPS shift 5 of 5</t>
  </si>
  <si>
    <t xml:space="preserve">Price target grid 21x, EPS shift 1 of 5</t>
  </si>
  <si>
    <t xml:space="preserve">Price target grid 21x, EPS shift 2 of 5</t>
  </si>
  <si>
    <t xml:space="preserve">Price target grid 21x, EPS shift 3 of 5</t>
  </si>
  <si>
    <t xml:space="preserve">Price target grid 21x, EPS shift 4 of 5</t>
  </si>
  <si>
    <t xml:space="preserve">Price target grid 21x, EPS shift 5 of 5</t>
  </si>
  <si>
    <t xml:space="preserve">Price target grid 22x, EPS shift 1 of 5</t>
  </si>
  <si>
    <t xml:space="preserve">Price target grid 22x, EPS shift 2 of 5</t>
  </si>
  <si>
    <t xml:space="preserve">Price target grid 22x, EPS shift 3 of 5</t>
  </si>
  <si>
    <t xml:space="preserve">Price target grid 22x, EPS shift 4 of 5</t>
  </si>
  <si>
    <t xml:space="preserve">Price target grid 22x, EPS shift 5 of 5</t>
  </si>
  <si>
    <t xml:space="preserve">Price target grid 23x, EPS shift 1 of 5</t>
  </si>
  <si>
    <t xml:space="preserve">Price target grid 23x, EPS shift 2 of 5</t>
  </si>
  <si>
    <t xml:space="preserve">Price target grid 23x, EPS shift 3 of 5</t>
  </si>
  <si>
    <t xml:space="preserve">Price target grid 23x, EPS shift 4 of 5</t>
  </si>
  <si>
    <t xml:space="preserve">Price target grid 23x, EPS shift 5 of 5</t>
  </si>
  <si>
    <t xml:space="preserve">DCF grid WACC 7.00%, growth 1 of 5</t>
  </si>
  <si>
    <t xml:space="preserve">DCF grid WACC 7.00%, growth 2 of 5</t>
  </si>
  <si>
    <t xml:space="preserve">DCF grid WACC 7.00%, growth 3 of 5</t>
  </si>
  <si>
    <t xml:space="preserve">DCF grid WACC 7.00%, growth 4 of 5</t>
  </si>
  <si>
    <t xml:space="preserve">DCF grid WACC 7.00%, growth 5 of 5</t>
  </si>
  <si>
    <t xml:space="preserve">DCF grid WACC 7.50%, growth 1 of 5</t>
  </si>
  <si>
    <t xml:space="preserve">DCF grid WACC 7.50%, growth 2 of 5</t>
  </si>
  <si>
    <t xml:space="preserve">DCF grid WACC 7.50%, growth 3 of 5</t>
  </si>
  <si>
    <t xml:space="preserve">DCF grid WACC 7.50%, growth 4 of 5</t>
  </si>
  <si>
    <t xml:space="preserve">DCF grid WACC 7.50%, growth 5 of 5</t>
  </si>
  <si>
    <t xml:space="preserve">DCF grid WACC 7.81%, growth 1 of 5</t>
  </si>
  <si>
    <t xml:space="preserve">DCF grid WACC 7.81%, growth 2 of 5</t>
  </si>
  <si>
    <t xml:space="preserve">DCF grid WACC 7.81%, growth 3 of 5</t>
  </si>
  <si>
    <t xml:space="preserve">DCF grid WACC 7.81%, growth 4 of 5</t>
  </si>
  <si>
    <t xml:space="preserve">DCF grid WACC 7.81%, growth 5 of 5</t>
  </si>
  <si>
    <t xml:space="preserve">DCF grid WACC 8.00%, growth 1 of 5</t>
  </si>
  <si>
    <t xml:space="preserve">DCF grid WACC 8.00%, growth 2 of 5</t>
  </si>
  <si>
    <t xml:space="preserve">DCF grid WACC 8.00%, growth 3 of 5</t>
  </si>
  <si>
    <t xml:space="preserve">DCF grid WACC 8.00%, growth 4 of 5</t>
  </si>
  <si>
    <t xml:space="preserve">DCF grid WACC 8.00%, growth 5 of 5</t>
  </si>
  <si>
    <t xml:space="preserve">DCF grid WACC 8.50%, growth 1 of 5</t>
  </si>
  <si>
    <t xml:space="preserve">DCF grid WACC 8.50%, growth 2 of 5</t>
  </si>
  <si>
    <t xml:space="preserve">DCF grid WACC 8.50%, growth 3 of 5</t>
  </si>
  <si>
    <t xml:space="preserve">DCF grid WACC 8.50%, growth 4 of 5</t>
  </si>
  <si>
    <t xml:space="preserve">DCF grid WACC 8.50%, growth 5 of 5</t>
  </si>
  <si>
    <t xml:space="preserve">DCF grid WACC 9.00%, growth 1 of 5</t>
  </si>
  <si>
    <t xml:space="preserve">DCF grid WACC 9.00%, growth 2 of 5</t>
  </si>
  <si>
    <t xml:space="preserve">DCF grid WACC 9.00%, growth 3 of 5</t>
  </si>
  <si>
    <t xml:space="preserve">DCF grid WACC 9.00%, growth 4 of 5</t>
  </si>
  <si>
    <t xml:space="preserve">DCF grid WACC 9.00%, growth 5 of 5</t>
  </si>
  <si>
    <t xml:space="preserve">Sensitivity base FY2027E EPS</t>
  </si>
  <si>
    <t xml:space="preserve">MA volume +1 pt each year: EPS</t>
  </si>
  <si>
    <t xml:space="preserve">MA volume +1 pt each year: change</t>
  </si>
  <si>
    <t xml:space="preserve">MA volume +1 pt each year: change %</t>
  </si>
  <si>
    <t xml:space="preserve">FC volume +1 pt each year: EPS</t>
  </si>
  <si>
    <t xml:space="preserve">FC volume +1 pt each year: change</t>
  </si>
  <si>
    <t xml:space="preserve">FC volume +1 pt each year: change %</t>
  </si>
  <si>
    <t xml:space="preserve">AS volume +1 pt each year: EPS</t>
  </si>
  <si>
    <t xml:space="preserve">AS volume +1 pt each year: change</t>
  </si>
  <si>
    <t xml:space="preserve">AS volume +1 pt each year: change %</t>
  </si>
  <si>
    <t xml:space="preserve">MA margin +1 pt each year: EPS</t>
  </si>
  <si>
    <t xml:space="preserve">MA margin +1 pt each year: change</t>
  </si>
  <si>
    <t xml:space="preserve">MA margin +1 pt each year: change %</t>
  </si>
  <si>
    <t xml:space="preserve">FC margin +1 pt each year: EPS</t>
  </si>
  <si>
    <t xml:space="preserve">FC margin +1 pt each year: change</t>
  </si>
  <si>
    <t xml:space="preserve">FC margin +1 pt each year: change %</t>
  </si>
  <si>
    <t xml:space="preserve">AS margin +1 pt each year: EPS</t>
  </si>
  <si>
    <t xml:space="preserve">AS margin +1 pt each year: change</t>
  </si>
  <si>
    <t xml:space="preserve">AS margin +1 pt each year: change %</t>
  </si>
  <si>
    <t xml:space="preserve">Price +1 pt, all segments: EPS</t>
  </si>
  <si>
    <t xml:space="preserve">Price +1 pt, all segments: change</t>
  </si>
  <si>
    <t xml:space="preserve">Price +1 pt, all segments: change %</t>
  </si>
  <si>
    <t xml:space="preserve">Tax rate +2 pts: EPS</t>
  </si>
  <si>
    <t xml:space="preserve">Tax rate +2 pts: change</t>
  </si>
  <si>
    <t xml:space="preserve">Tax rate +2 pts: change %</t>
  </si>
  <si>
    <t xml:space="preserve">Scenarios</t>
  </si>
  <si>
    <t xml:space="preserve">Bear: FY2026E adjusted EPS</t>
  </si>
  <si>
    <t xml:space="preserve">Bear: FY2027E adjusted EPS</t>
  </si>
  <si>
    <t xml:space="preserve">Bear: value</t>
  </si>
  <si>
    <t xml:space="preserve">Bear: return from the price</t>
  </si>
  <si>
    <t xml:space="preserve">Base: FY2026E adjusted EPS</t>
  </si>
  <si>
    <t xml:space="preserve">Base: FY2027E adjusted EPS</t>
  </si>
  <si>
    <t xml:space="preserve">Base: value</t>
  </si>
  <si>
    <t xml:space="preserve">Base: return from the price</t>
  </si>
  <si>
    <t xml:space="preserve">Bull: FY2026E adjusted EPS</t>
  </si>
  <si>
    <t xml:space="preserve">Bull: FY2027E adjusted EPS</t>
  </si>
  <si>
    <t xml:space="preserve">Bull: value</t>
  </si>
  <si>
    <t xml:space="preserve">Bull: return from the price</t>
  </si>
  <si>
    <t xml:space="preserve">Probability-weighted return</t>
  </si>
  <si>
    <t xml:space="preserve">Upside to bull / downside to bear</t>
  </si>
  <si>
    <t xml:space="preserve">All nine: mean26</t>
  </si>
  <si>
    <t xml:space="preserve">All nine: median26</t>
  </si>
  <si>
    <t xml:space="preserve">All nine: hi26</t>
  </si>
  <si>
    <t xml:space="preserve">All nine: lo26</t>
  </si>
  <si>
    <t xml:space="preserve">All nine: sd26</t>
  </si>
  <si>
    <t xml:space="preserve">All nine: mean27</t>
  </si>
  <si>
    <t xml:space="preserve">All nine: median27</t>
  </si>
  <si>
    <t xml:space="preserve">All nine: hi27</t>
  </si>
  <si>
    <t xml:space="preserve">All nine: lo27</t>
  </si>
  <si>
    <t xml:space="preserve">All nine: sd27</t>
  </si>
  <si>
    <t xml:space="preserve">All nine: rev_mean26</t>
  </si>
  <si>
    <t xml:space="preserve">Cleaned consensus: n_fresh</t>
  </si>
  <si>
    <t xml:space="preserve">Cleaned consensus: fmean26</t>
  </si>
  <si>
    <t xml:space="preserve">Cleaned consensus: fsd26</t>
  </si>
  <si>
    <t xml:space="preserve">Cleaned consensus: fmean27</t>
  </si>
  <si>
    <t xml:space="preserve">Cleaned consensus: fsd27</t>
  </si>
  <si>
    <t xml:space="preserve">Cleaned consensus: frev26</t>
  </si>
  <si>
    <t xml:space="preserve">Cleaned consensus: gap26</t>
  </si>
  <si>
    <t xml:space="preserve">Cleaned consensus: z26</t>
  </si>
  <si>
    <t xml:space="preserve">Cleaned consensus: gap27</t>
  </si>
  <si>
    <t xml:space="preserve">Cleaned consensus: z27</t>
  </si>
  <si>
    <t xml:space="preserve">Cleaned consensus: rank27</t>
  </si>
  <si>
    <t xml:space="preserve">Cleaned consensus: rank_of</t>
  </si>
  <si>
    <t xml:space="preserve">Cleaned consensus: rev_gap26</t>
  </si>
  <si>
    <t xml:space="preserve">Consensus bridge: Consensus (reconstructed)</t>
  </si>
  <si>
    <t xml:space="preserve">Consensus bridge: MA revenue</t>
  </si>
  <si>
    <t xml:space="preserve">Consensus bridge: MA margin</t>
  </si>
  <si>
    <t xml:space="preserve">Consensus bridge: FC revenue</t>
  </si>
  <si>
    <t xml:space="preserve">Consensus bridge: FC margin</t>
  </si>
  <si>
    <t xml:space="preserve">Consensus bridge: AS revenue and margin</t>
  </si>
  <si>
    <t xml:space="preserve">Consensus bridge: Corporate, interest, shares</t>
  </si>
  <si>
    <t xml:space="preserve">Consensus bridge: Analyst estimate</t>
  </si>
  <si>
    <t xml:space="preserve">Consensus bridge: total gap</t>
  </si>
  <si>
    <t xml:space="preserve">Consensus bridge: MA revenue and margin together</t>
  </si>
  <si>
    <t xml:space="preserve">Quarter</t>
  </si>
  <si>
    <t xml:space="preserve">Q1 rev_FC: estimate</t>
  </si>
  <si>
    <t xml:space="preserve">Q1 rev_FC: actual</t>
  </si>
  <si>
    <t xml:space="preserve">Q1 rev_FC: difference</t>
  </si>
  <si>
    <t xml:space="preserve">Q1 rev_FC: difference %</t>
  </si>
  <si>
    <t xml:space="preserve">Q1 rev_MA: estimate</t>
  </si>
  <si>
    <t xml:space="preserve">Q1 rev_MA: actual</t>
  </si>
  <si>
    <t xml:space="preserve">Q1 rev_MA: difference</t>
  </si>
  <si>
    <t xml:space="preserve">Q1 rev_MA: difference %</t>
  </si>
  <si>
    <t xml:space="preserve">Q1 rev_AS: estimate</t>
  </si>
  <si>
    <t xml:space="preserve">Q1 rev_AS: actual</t>
  </si>
  <si>
    <t xml:space="preserve">Q1 rev_AS: difference</t>
  </si>
  <si>
    <t xml:space="preserve">Q1 rev_AS: difference %</t>
  </si>
  <si>
    <t xml:space="preserve">Q1 rev: estimate</t>
  </si>
  <si>
    <t xml:space="preserve">Q1 rev: actual</t>
  </si>
  <si>
    <t xml:space="preserve">Q1 rev: difference</t>
  </si>
  <si>
    <t xml:space="preserve">Q1 rev: difference %</t>
  </si>
  <si>
    <t xml:space="preserve">Q1 ebit_FC: estimate</t>
  </si>
  <si>
    <t xml:space="preserve">Q1 ebit_FC: actual</t>
  </si>
  <si>
    <t xml:space="preserve">Q1 ebit_FC: difference</t>
  </si>
  <si>
    <t xml:space="preserve">Q1 ebit_FC: difference %</t>
  </si>
  <si>
    <t xml:space="preserve">Q1 ebit_MA: estimate</t>
  </si>
  <si>
    <t xml:space="preserve">Q1 ebit_MA: actual</t>
  </si>
  <si>
    <t xml:space="preserve">Q1 ebit_MA: difference</t>
  </si>
  <si>
    <t xml:space="preserve">Q1 ebit_MA: difference %</t>
  </si>
  <si>
    <t xml:space="preserve">Q1 ebit_AS: estimate</t>
  </si>
  <si>
    <t xml:space="preserve">Q1 ebit_AS: actual</t>
  </si>
  <si>
    <t xml:space="preserve">Q1 ebit_AS: difference</t>
  </si>
  <si>
    <t xml:space="preserve">Q1 ebit_AS: difference %</t>
  </si>
  <si>
    <t xml:space="preserve">Q1 adj_ebit: estimate</t>
  </si>
  <si>
    <t xml:space="preserve">Q1 adj_ebit: actual</t>
  </si>
  <si>
    <t xml:space="preserve">Q1 adj_ebit: difference</t>
  </si>
  <si>
    <t xml:space="preserve">Q1 adj_ebit: difference %</t>
  </si>
  <si>
    <t xml:space="preserve">Q1 adj_eps: estimate</t>
  </si>
  <si>
    <t xml:space="preserve">Q1 adj_eps: actual</t>
  </si>
  <si>
    <t xml:space="preserve">Q1 adj_eps: difference</t>
  </si>
  <si>
    <t xml:space="preserve">Q1 adj_eps: difference %</t>
  </si>
  <si>
    <t xml:space="preserve">Q1 eps: estimate</t>
  </si>
  <si>
    <t xml:space="preserve">Q1 eps: actual</t>
  </si>
  <si>
    <t xml:space="preserve">Q1 eps: difference</t>
  </si>
  <si>
    <t xml:space="preserve">Q1 eps: difference %</t>
  </si>
  <si>
    <t xml:space="preserve">Q1 FC margin: estimate</t>
  </si>
  <si>
    <t xml:space="preserve">Q1 FC margin: actual</t>
  </si>
  <si>
    <t xml:space="preserve">Q1 MA margin: estimate</t>
  </si>
  <si>
    <t xml:space="preserve">Q1 MA margin: actual</t>
  </si>
  <si>
    <t xml:space="preserve">Q1 AS margin: estimate</t>
  </si>
  <si>
    <t xml:space="preserve">Q1 AS margin: actual</t>
  </si>
  <si>
    <t xml:space="preserve">Q1 adjusted operating margin: estimate</t>
  </si>
  <si>
    <t xml:space="preserve">Q1 adjusted operating margin: actual</t>
  </si>
  <si>
    <t xml:space="preserve">Q1 actual vs consensus: EPS</t>
  </si>
  <si>
    <t xml:space="preserve">Q1 actual vs consensus: revenue</t>
  </si>
  <si>
    <t xml:space="preserve">Prior-year Q1 revenue total</t>
  </si>
  <si>
    <t xml:space="preserve">Q1 year on year: FC</t>
  </si>
  <si>
    <t xml:space="preserve">Q1 year on year: MA</t>
  </si>
  <si>
    <t xml:space="preserve">Q1 year on year: AS</t>
  </si>
  <si>
    <t xml:space="preserve">Q1 year on year: total</t>
  </si>
  <si>
    <t xml:space="preserve">Q1 year on year: adjusted EPS</t>
  </si>
  <si>
    <t xml:space="preserve">Q1 FC volume</t>
  </si>
  <si>
    <t xml:space="preserve">Old guidance midpoint</t>
  </si>
  <si>
    <t xml:space="preserve">New guidance midpoint</t>
  </si>
  <si>
    <t xml:space="preserve">Q1 EPS bridge: Analyst estimate</t>
  </si>
  <si>
    <t xml:space="preserve">Q1 EPS bridge: Flow Control revenue</t>
  </si>
  <si>
    <t xml:space="preserve">Q1 EPS bridge: Flow Control margin</t>
  </si>
  <si>
    <t xml:space="preserve">Q1 EPS bridge: Measurement &amp; Analytics revenue</t>
  </si>
  <si>
    <t xml:space="preserve">Q1 EPS bridge: Measurement &amp; Analytics margin</t>
  </si>
  <si>
    <t xml:space="preserve">Q1 EPS bridge: Aftermarket Services revenue</t>
  </si>
  <si>
    <t xml:space="preserve">Q1 EPS bridge: Aftermarket Services margin</t>
  </si>
  <si>
    <t xml:space="preserve">Q1 EPS bridge: Corporate, interest, shares</t>
  </si>
  <si>
    <t xml:space="preserve">Q1 EPS bridge: Reported adjusted EPS</t>
  </si>
  <si>
    <t xml:space="preserve">Expected total return the evening before results</t>
  </si>
  <si>
    <t xml:space="preserve">Rating the evening before results</t>
  </si>
  <si>
    <t xml:space="preserve">Revision</t>
  </si>
  <si>
    <t xml:space="preserve">Relative move on results day</t>
  </si>
  <si>
    <t xml:space="preserve">Revision FY2026E: old adjusted EPS</t>
  </si>
  <si>
    <t xml:space="preserve">Revision FY2026E: new adjusted EPS</t>
  </si>
  <si>
    <t xml:space="preserve">Revision FY2026E: EPS change</t>
  </si>
  <si>
    <t xml:space="preserve">Revision FY2026E: old revenue</t>
  </si>
  <si>
    <t xml:space="preserve">Revision FY2026E: new revenue</t>
  </si>
  <si>
    <t xml:space="preserve">Revision FY2027E: old adjusted EPS</t>
  </si>
  <si>
    <t xml:space="preserve">Revision FY2027E: new adjusted EPS</t>
  </si>
  <si>
    <t xml:space="preserve">Revision FY2027E: EPS change</t>
  </si>
  <si>
    <t xml:space="preserve">Revision FY2027E: old revenue</t>
  </si>
  <si>
    <t xml:space="preserve">Revision FY2027E: new revenue</t>
  </si>
  <si>
    <t xml:space="preserve">Revision FY2028E: old adjusted EPS</t>
  </si>
  <si>
    <t xml:space="preserve">Revision FY2028E: new adjusted EPS</t>
  </si>
  <si>
    <t xml:space="preserve">Revision FY2028E: EPS change</t>
  </si>
  <si>
    <t xml:space="preserve">Revision FY2028E: old revenue</t>
  </si>
  <si>
    <t xml:space="preserve">Revision FY2028E: new revenue</t>
  </si>
  <si>
    <t xml:space="preserve">Revised FY2026E FC revenue</t>
  </si>
  <si>
    <t xml:space="preserve">Revised FY2026E MA revenue</t>
  </si>
  <si>
    <t xml:space="preserve">Revised FY2026E AS revenue</t>
  </si>
  <si>
    <t xml:space="preserve">Revised FY2027E FC revenue</t>
  </si>
  <si>
    <t xml:space="preserve">Revised FY2027E MA revenue</t>
  </si>
  <si>
    <t xml:space="preserve">Revised FY2027E AS revenue</t>
  </si>
  <si>
    <t xml:space="preserve">Revised FY2026E EPS vs new guidance midpoint</t>
  </si>
  <si>
    <t xml:space="preserve">Revised P/E value</t>
  </si>
  <si>
    <t xml:space="preserve">New price target</t>
  </si>
  <si>
    <t xml:space="preserve">P/E FY2027E before results</t>
  </si>
  <si>
    <t xml:space="preserve">P/E FY2027E after results</t>
  </si>
  <si>
    <t xml:space="preserve">Price justified by the revision alone</t>
  </si>
  <si>
    <t xml:space="preserve">Revision to FY2027E EPS</t>
  </si>
  <si>
    <t xml:space="preserve">New upside</t>
  </si>
  <si>
    <t xml:space="preserve">New dividend yield</t>
  </si>
  <si>
    <t xml:space="preserve">New rating (the grid says)</t>
  </si>
  <si>
    <t xml:space="preserve">Target needed for a Buy at $93.25</t>
  </si>
  <si>
    <t xml:space="preserve">Implied P/E for that target</t>
  </si>
  <si>
    <t xml:space="preserve">TrackRecord</t>
  </si>
  <si>
    <t xml:space="preserve">Stock 1: total return</t>
  </si>
  <si>
    <t xml:space="preserve">Stock 1: excess return</t>
  </si>
  <si>
    <t xml:space="preserve">Stock 1: right?</t>
  </si>
  <si>
    <t xml:space="preserve">yes</t>
  </si>
  <si>
    <t xml:space="preserve">Stock 2: total return</t>
  </si>
  <si>
    <t xml:space="preserve">Stock 2: excess return</t>
  </si>
  <si>
    <t xml:space="preserve">Stock 2: right?</t>
  </si>
  <si>
    <t xml:space="preserve">no</t>
  </si>
  <si>
    <t xml:space="preserve">Stock 3: total return</t>
  </si>
  <si>
    <t xml:space="preserve">Stock 3: excess return</t>
  </si>
  <si>
    <t xml:space="preserve">Stock 3: right?</t>
  </si>
  <si>
    <t xml:space="preserve">Stock 4: total return</t>
  </si>
  <si>
    <t xml:space="preserve">Stock 4: excess return</t>
  </si>
  <si>
    <t xml:space="preserve">Stock 4: right?</t>
  </si>
  <si>
    <t xml:space="preserve">Stock 5: total return</t>
  </si>
  <si>
    <t xml:space="preserve">Stock 5: excess return</t>
  </si>
  <si>
    <t xml:space="preserve">Stock 5: right?</t>
  </si>
  <si>
    <t xml:space="preserve">Stock 6: total return</t>
  </si>
  <si>
    <t xml:space="preserve">Stock 6: excess return</t>
  </si>
  <si>
    <t xml:space="preserve">Stock 6: right?</t>
  </si>
  <si>
    <t xml:space="preserve">Stock 7: total return</t>
  </si>
  <si>
    <t xml:space="preserve">Stock 7: excess return</t>
  </si>
  <si>
    <t xml:space="preserve">Stock 7: right?</t>
  </si>
  <si>
    <t xml:space="preserve">Stock 8: total return</t>
  </si>
  <si>
    <t xml:space="preserve">Stock 8: excess return</t>
  </si>
  <si>
    <t xml:space="preserve">Stock 8: right?</t>
  </si>
  <si>
    <t xml:space="preserve">Stock 9: total return</t>
  </si>
  <si>
    <t xml:space="preserve">Stock 9: excess return</t>
  </si>
  <si>
    <t xml:space="preserve">Stock 9: right?</t>
  </si>
  <si>
    <t xml:space="preserve">Stock 10: total return</t>
  </si>
  <si>
    <t xml:space="preserve">Stock 10: excess return</t>
  </si>
  <si>
    <t xml:space="preserve">Stock 10: right?</t>
  </si>
  <si>
    <t xml:space="preserve">Stock 11: total return</t>
  </si>
  <si>
    <t xml:space="preserve">Stock 11: excess return</t>
  </si>
  <si>
    <t xml:space="preserve">Stock 11: right?</t>
  </si>
  <si>
    <t xml:space="preserve">Stock 12: total return</t>
  </si>
  <si>
    <t xml:space="preserve">Stock 12: excess return</t>
  </si>
  <si>
    <t xml:space="preserve">Stock 12: right?</t>
  </si>
  <si>
    <t xml:space="preserve">Calls right</t>
  </si>
  <si>
    <t xml:space="preserve">Buys right</t>
  </si>
  <si>
    <t xml:space="preserve">Buys</t>
  </si>
  <si>
    <t xml:space="preserve">Sells right</t>
  </si>
  <si>
    <t xml:space="preserve">Holds right</t>
  </si>
  <si>
    <t xml:space="preserve">Holds</t>
  </si>
  <si>
    <t xml:space="preserve">Average excess return: Buys</t>
  </si>
  <si>
    <t xml:space="preserve">Average excess return: Sells</t>
  </si>
  <si>
    <t xml:space="preserve">Average excess return: Holds</t>
  </si>
  <si>
    <t xml:space="preserve">Long Buys / short Sells, average excess per position</t>
  </si>
  <si>
    <t xml:space="preserve">BuySide</t>
  </si>
  <si>
    <t xml:space="preserve">Expected return (buy side)</t>
  </si>
  <si>
    <t xml:space="preserve">Upside/downside (buy side)</t>
  </si>
  <si>
    <t xml:space="preserve">Logic</t>
  </si>
  <si>
    <t xml:space="preserve">Segment revenues add up to total revenue in every year</t>
  </si>
  <si>
    <t xml:space="preserve">holds</t>
  </si>
  <si>
    <t xml:space="preserve">Scenario probabilities add up to 100%</t>
  </si>
  <si>
    <t xml:space="preserve">Consensus bridge steps add up to the total gap</t>
  </si>
  <si>
    <t xml:space="preserve">Reverse DCF: value at the implied growth is within $0.01 of the price</t>
  </si>
  <si>
    <t xml:space="preserve">Reverse DCF: value at the implied WACC is within $0.01 of the price</t>
  </si>
  <si>
    <t xml:space="preserve">Total return at the Hold line equals the Buy threshold</t>
  </si>
  <si>
    <t xml:space="preserve">Revised model: FY2025A history identical to the base model</t>
  </si>
  <si>
    <t xml:space="preserve">Base scenario value equals the P/E method value</t>
  </si>
  <si>
    <t xml:space="preserve">Text_Figures</t>
  </si>
  <si>
    <t xml:space="preserve">Ch. 3: Flow Control FY2025A volume factor, 1 + volume growth</t>
  </si>
  <si>
    <t xml:space="preserve">Ch. 3: Flow Control FY2025A price factor, 1 + price</t>
  </si>
  <si>
    <t xml:space="preserve">Ch. 3: Flow Control FY2025A growth factor, volume factor x price factor</t>
  </si>
  <si>
    <t xml:space="preserve">Ch. 3: FY2022A revenue, three segments</t>
  </si>
  <si>
    <t xml:space="preserve">Ch. 3: Flow Control FY2024A volume factor</t>
  </si>
  <si>
    <t xml:space="preserve">Ch. 3: Flow Control FY2023A price factor</t>
  </si>
  <si>
    <t xml:space="preserve">Ch. 3: Flow Control FY2023A volume factor</t>
  </si>
  <si>
    <t xml:space="preserve">Ch. 3: Flow Control FY2023A growth with volume rounded to 1.0 percent (rounding illustration)</t>
  </si>
  <si>
    <t xml:space="preserve">Ch. 3: Measurement &amp; Analytics volume compounded over FY2023A to FY2025A</t>
  </si>
  <si>
    <t xml:space="preserve">Ch. 3: Measurement &amp; Analytics share of the FY2023A to FY2025A increase in segment operating profit</t>
  </si>
  <si>
    <t xml:space="preserve">Ch. 3: Measurement &amp; Analytics share of FY2023A revenue</t>
  </si>
  <si>
    <t xml:space="preserve">Ch. 3: Flow Control increase in segment operating profit, FY2023A to FY2025A</t>
  </si>
  <si>
    <t xml:space="preserve">Ch. 4: Flow Control FY2026E price factor</t>
  </si>
  <si>
    <t xml:space="preserve">Ch. 4: Flow Control FY2026E growth factor, (1 + volume) x (1 + price)</t>
  </si>
  <si>
    <t xml:space="preserve">Ch. 4: Measurement &amp; Analytics FY2026E price factor</t>
  </si>
  <si>
    <t xml:space="preserve">Ch. 4: Measurement &amp; Analytics FY2026E: compounding less simple addition of the two drivers</t>
  </si>
  <si>
    <t xml:space="preserve">Ch. 5: Revenue added, FY2025A to FY2026E</t>
  </si>
  <si>
    <t xml:space="preserve">Ch. 5: Flow Control extra revenue, FY2026E</t>
  </si>
  <si>
    <t xml:space="preserve">Ch. 5: Measurement &amp; Analytics extra revenue, FY2026E</t>
  </si>
  <si>
    <t xml:space="preserve">Ch. 5: Measurement &amp; Analytics FY2028E revenue at its FY2025A margin</t>
  </si>
  <si>
    <t xml:space="preserve">Ch. 5: Three segments, FY2028E revenue at FY2025A margins, total</t>
  </si>
  <si>
    <t xml:space="preserve">Ch. 5: FY2027E adjusted EBITDA, % of revenue</t>
  </si>
  <si>
    <t xml:space="preserve">Ch. 6: One minus the tax rate</t>
  </si>
  <si>
    <t xml:space="preserve">Ch. 6: Adjusted EBIT growth, FY2025A to FY2028E</t>
  </si>
  <si>
    <t xml:space="preserve">Ch. 6: Adjusted net income, FY2028E over FY2025A</t>
  </si>
  <si>
    <t xml:space="preserve">Ch. 6: Diluted shares, FY2028E over FY2025A</t>
  </si>
  <si>
    <t xml:space="preserve">Ch. 6: 1.410 / 0.968, on the two printed ratios</t>
  </si>
  <si>
    <t xml:space="preserve">Ch. 6: Adjusted EPS FY2028E over FY2025A, on the printed cents ($5.76 / $3.96)</t>
  </si>
  <si>
    <t xml:space="preserve">Ch. 7: One minus the tax rate</t>
  </si>
  <si>
    <t xml:space="preserve">Ch. 7: FY2025A restructuring after tax</t>
  </si>
  <si>
    <t xml:space="preserve">Ch. 8: FY2025A adjusted net income less FCF</t>
  </si>
  <si>
    <t xml:space="preserve">Ch. 8: FY2025A restructuring after tax</t>
  </si>
  <si>
    <t xml:space="preserve">Ch. 8: Revenue increase, FY2026E</t>
  </si>
  <si>
    <t xml:space="preserve">Ch. 8: Profit after tax on $100 of new revenue at the rounded FY2026E incremental margin</t>
  </si>
  <si>
    <t xml:space="preserve">Ch. 8: FY2026E capex over depreciation</t>
  </si>
  <si>
    <t xml:space="preserve">Ch. 8: FY2026E capex less depreciation</t>
  </si>
  <si>
    <t xml:space="preserve">Ch. 8: Fall in net debt, FY2025A to FY2028E</t>
  </si>
  <si>
    <t xml:space="preserve">Ch. 8: FY2026E dividends and buybacks</t>
  </si>
  <si>
    <t xml:space="preserve">Ch. 9: Sum of the three volume sensitivities (FY2027E EPS)</t>
  </si>
  <si>
    <t xml:space="preserve">Ch. 9: Bear multiple x bear FY2027E EPS rounded to the cent</t>
  </si>
  <si>
    <t xml:space="preserve">Ch. 9: Base value at the bear multiple</t>
  </si>
  <si>
    <t xml:space="preserve">Ch. 9: Base value less probability-weighted value</t>
  </si>
  <si>
    <t xml:space="preserve">Ch. 9: Upside to the bull value</t>
  </si>
  <si>
    <t xml:space="preserve">Ch. 9: Downside to the bear value</t>
  </si>
  <si>
    <t xml:space="preserve">Ch. 10: FY2027E Measurement &amp; Analytics revenue, analyst less consensus</t>
  </si>
  <si>
    <t xml:space="preserve">Ch. 10: Share of the consensus gap from MA revenue and margin, on the printed 0.146 and 0.188</t>
  </si>
  <si>
    <t xml:space="preserve">Ch. 10: FY2027E consensus revenue, three segments</t>
  </si>
  <si>
    <t xml:space="preserve">Ch. 10: FY2027E revenue, analyst less consensus</t>
  </si>
  <si>
    <t xml:space="preserve">Ch. 11: Revision factor: $89.10 over the evening price</t>
  </si>
  <si>
    <t xml:space="preserve">Ch. 11: Re-rating factor: closing price over $89.10</t>
  </si>
  <si>
    <t xml:space="preserve">Ch. 11: Product of the two factors</t>
  </si>
  <si>
    <t xml:space="preserve">Ch. 12: Average P/E of the two FC peers (peers 1 and 6)</t>
  </si>
  <si>
    <t xml:space="preserve">Ch. 12: Average P/E of the two MA peers (peers 2 and 4)</t>
  </si>
  <si>
    <t xml:space="preserve">Ch. 12: Halfway between the two averages</t>
  </si>
  <si>
    <t xml:space="preserve">Ch. 12: Target P/E over the peer median P/E</t>
  </si>
  <si>
    <t xml:space="preserve">Ch. 12: P/E value less EV/EBITDA value</t>
  </si>
  <si>
    <t xml:space="preserve">Ch. 12: Target EV/EBITDA over the peer median EV/EBITDA</t>
  </si>
  <si>
    <t xml:space="preserve">Ch. 12: Target P/E x FY2026E adjusted EPS</t>
  </si>
  <si>
    <t xml:space="preserve">Ch. 12: Equity value at the $101 target</t>
  </si>
  <si>
    <t xml:space="preserve">Ch. 12: Enterprise value implied by the $101 target</t>
  </si>
  <si>
    <t xml:space="preserve">Ch. 13: FY2026E reported operating income after tax</t>
  </si>
  <si>
    <t xml:space="preserve">Ch. 13: FY2026E net interest after tax</t>
  </si>
  <si>
    <t xml:space="preserve">Ch. 13: WACC, equity piece: equity weight x cost of equity</t>
  </si>
  <si>
    <t xml:space="preserve">Ch. 13: WACC, debt piece: debt weight x cost of debt x (1 - tax)</t>
  </si>
  <si>
    <t xml:space="preserve">Ch. 13: Roll-forward factor, 1 + cost of equity</t>
  </si>
  <si>
    <t xml:space="preserve">Ch. 13: DCF value today x roll-forward factor</t>
  </si>
  <si>
    <t xml:space="preserve">Ch. 13: DCF grid: 7.5% WACC and 3.5% growth over 8.5% WACC and 2.5% growth</t>
  </si>
  <si>
    <t xml:space="preserve">Ch. 13: DCF grid: half a point more growth at the base WACC, on the printed $106.35 and $95.06</t>
  </si>
  <si>
    <t xml:space="preserve">Ch. 13: DCF rolled forward over the P/E value</t>
  </si>
  <si>
    <t xml:space="preserve">Ch. 14: Corporate costs in the SOTP, per share</t>
  </si>
  <si>
    <t xml:space="preserve">Ch. 14: SOTP: one turn of multiple on MA, per share</t>
  </si>
  <si>
    <t xml:space="preserve">Ch. 14: SOTP with MA at the AS multiple (16x)</t>
  </si>
  <si>
    <t xml:space="preserve">Ch. 14: Enterprise value implied by the $101 target</t>
  </si>
  <si>
    <t xml:space="preserve">Ch. 14: Sum of the four values (P/E, EV/EBITDA, SOTP, DCF rolled forward)</t>
  </si>
  <si>
    <t xml:space="preserve">Ch. 14: Average of the four values</t>
  </si>
  <si>
    <t xml:space="preserve">Ch. 14: Target needed for a Buy at $86.20: 1.15 x price less the FY2026E dividend</t>
  </si>
  <si>
    <t xml:space="preserve">Ch. 15: Upside plus dividend yield, each rounded to a tenth of a percent</t>
  </si>
  <si>
    <t xml:space="preserve">Ch. 15: Sell line divisor, 1 + Sell threshold</t>
  </si>
  <si>
    <t xml:space="preserve">Ch. 15: Sell line: (target + DPS) / 0.95</t>
  </si>
  <si>
    <t xml:space="preserve">Ch. 15: Buy line less the initiation price</t>
  </si>
  <si>
    <t xml:space="preserve">Ch. 17: Q1 estimate: adjusted EBIT less interest</t>
  </si>
  <si>
    <t xml:space="preserve">Ch. 17: Q1 EPS bridge: sum of the steps rounded to a tenth of a cent</t>
  </si>
  <si>
    <t xml:space="preserve">Ch. 17: Q1 Flow Control revenue factor, year on year</t>
  </si>
  <si>
    <t xml:space="preserve">Ch. 17: Q1 Flow Control price factor disclosed</t>
  </si>
  <si>
    <t xml:space="preserve">Ch. 17: Q1 restructuring over the FY2026E estimate</t>
  </si>
  <si>
    <t xml:space="preserve">Ch. 18: Q1 Measurement &amp; Analytics revenue factor, year on year</t>
  </si>
  <si>
    <t xml:space="preserve">Ch. 18: Measurement &amp; Analytics FY2026E price factor in the model</t>
  </si>
  <si>
    <t xml:space="preserve">Ch. 18: Results day: part of the move that is re-rating</t>
  </si>
  <si>
    <t xml:space="preserve">Ch. 18: Hold line at the new target: (target + DPS) / 1.15</t>
  </si>
  <si>
    <t xml:space="preserve">Ch. 20: Seven Buys: sum of the excess returns, each rounded to a tenth of a point</t>
  </si>
  <si>
    <t xml:space="preserve">Ch. 20: Long the Buys, short the Sells: sum of the nine positions, on the rounded excess returns</t>
  </si>
  <si>
    <t xml:space="preserve">Ch. 21: Upside to the bull value</t>
  </si>
  <si>
    <t xml:space="preserve">Ch. 21: Downside to the bear value</t>
  </si>
  <si>
    <t xml:space="preserve">Ch. 21: Maximum weight after Q1: risk budget / bear-case loss from $93.25</t>
  </si>
  <si>
    <t xml:space="preserve">Ch. A1: One minus the tax rate</t>
  </si>
  <si>
    <t xml:space="preserve">Ch. A1: Roll-forward factor, 1 + cost of equity</t>
  </si>
</sst>
</file>

<file path=xl/styles.xml><?xml version="1.0" encoding="utf-8"?>
<styleSheet xmlns="http://schemas.openxmlformats.org/spreadsheetml/2006/main">
  <numFmts count="31">
    <numFmt numFmtId="164" formatCode="General"/>
    <numFmt numFmtId="165" formatCode="\$#,##0.0;&quot;-$&quot;#,##0.0;\$0.0"/>
    <numFmt numFmtId="166" formatCode="0.0%"/>
    <numFmt numFmtId="167" formatCode="#,##0.0"/>
    <numFmt numFmtId="168" formatCode="0.00;\-0.00;0.00"/>
    <numFmt numFmtId="169" formatCode="0.0\x"/>
    <numFmt numFmtId="170" formatCode="0%"/>
    <numFmt numFmtId="171" formatCode="0"/>
    <numFmt numFmtId="172" formatCode="#,##0.00"/>
    <numFmt numFmtId="173" formatCode="0.00\x"/>
    <numFmt numFmtId="174" formatCode="0.000000"/>
    <numFmt numFmtId="175" formatCode="\+0.0%;\-0.0%;0.0%"/>
    <numFmt numFmtId="176" formatCode="#,##0"/>
    <numFmt numFmtId="177" formatCode="0.00%"/>
    <numFmt numFmtId="178" formatCode="0.0000"/>
    <numFmt numFmtId="179" formatCode="\+0.00;\-0.00;0.00"/>
    <numFmt numFmtId="180" formatCode="0\x"/>
    <numFmt numFmtId="181" formatCode="0.000;\-0.000;0.000"/>
    <numFmt numFmtId="182" formatCode="0.000"/>
    <numFmt numFmtId="183" formatCode="\+0.000;\-0.000;0.000"/>
    <numFmt numFmtId="184" formatCode="\+#,##0.00;\-#,##0.00;0.00"/>
    <numFmt numFmtId="185" formatCode="\+0.0&quot; pts&quot;;\-0.0&quot; pts&quot;;0.0&quot; pts&quot;"/>
    <numFmt numFmtId="186" formatCode="#,##0.0000"/>
    <numFmt numFmtId="187" formatCode="#,##0.000"/>
    <numFmt numFmtId="188" formatCode="\$#,##0.0"/>
    <numFmt numFmtId="189" formatCode="#,##0.00000"/>
    <numFmt numFmtId="190" formatCode="\$#,##0.00"/>
    <numFmt numFmtId="191" formatCode="0.000%"/>
    <numFmt numFmtId="192" formatCode="0.0000%"/>
    <numFmt numFmtId="193" formatCode="#,##0.000000"/>
    <numFmt numFmtId="194" formatCode="#,##0.00000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sz val="11"/>
      <color rgb="FF5B6475"/>
      <name val="Calibri"/>
      <family val="0"/>
      <charset val="1"/>
    </font>
    <font>
      <sz val="11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color rgb="FF0000FF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  <fill>
      <patternFill patternType="solid">
        <fgColor rgb="FFFFF7D6"/>
        <bgColor rgb="FFFFFFFF"/>
      </patternFill>
    </fill>
    <fill>
      <patternFill patternType="solid">
        <fgColor rgb="FFDCE3ED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4BCC8"/>
      </left>
      <right style="thin">
        <color rgb="FFB4BCC8"/>
      </right>
      <top style="thin">
        <color rgb="FFB4BCC8"/>
      </top>
      <bottom style="thin">
        <color rgb="FFB4BC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0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81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2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1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3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90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91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92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8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93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89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9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Calibri"/>
        <charset val="1"/>
        <family val="0"/>
        <b val="1"/>
        <color rgb="FFC00000"/>
      </font>
    </dxf>
    <dxf>
      <font>
        <name val="Calibri"/>
        <charset val="1"/>
        <family val="0"/>
        <b val="1"/>
        <color rgb="FF007A33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7A33"/>
      <rgbColor rgb="FF000080"/>
      <rgbColor rgb="FF808000"/>
      <rgbColor rgb="FF800080"/>
      <rgbColor rgb="FF008080"/>
      <rgbColor rgb="FFB4BCC8"/>
      <rgbColor rgb="FF808080"/>
      <rgbColor rgb="FF9999FF"/>
      <rgbColor rgb="FF993366"/>
      <rgbColor rgb="FFFFF7D6"/>
      <rgbColor rgb="FFCCFFFF"/>
      <rgbColor rgb="FF660066"/>
      <rgbColor rgb="FFFF8080"/>
      <rgbColor rgb="FF0066CC"/>
      <rgbColor rgb="FFDCE3E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47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58593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0"/>
  </cols>
  <sheetData>
    <row r="1" customFormat="false" ht="6" hidden="false" customHeight="true" outlineLevel="0" collapsed="false"/>
    <row r="2" customFormat="false" ht="17.35" hidden="false" customHeight="false" outlineLevel="0" collapsed="false">
      <c r="B2" s="1" t="s">
        <v>0</v>
      </c>
    </row>
    <row r="3" customFormat="false" ht="30" hidden="false" customHeight="tru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45" hidden="false" customHeight="true" outlineLevel="0" collapsed="false">
      <c r="B6" s="3" t="s">
        <v>3</v>
      </c>
    </row>
    <row r="7" customFormat="false" ht="15" hidden="false" customHeight="false" outlineLevel="0" collapsed="false">
      <c r="B7" s="3"/>
    </row>
    <row r="8" customFormat="false" ht="15" hidden="false" customHeight="false" outlineLevel="0" collapsed="false">
      <c r="B8" s="4" t="s">
        <v>4</v>
      </c>
    </row>
    <row r="9" customFormat="false" ht="30" hidden="false" customHeight="true" outlineLevel="0" collapsed="false">
      <c r="B9" s="3" t="s">
        <v>5</v>
      </c>
    </row>
    <row r="10" customFormat="false" ht="15" hidden="false" customHeight="false" outlineLevel="0" collapsed="false">
      <c r="B10" s="3"/>
    </row>
    <row r="11" customFormat="false" ht="15" hidden="false" customHeight="false" outlineLevel="0" collapsed="false">
      <c r="B11" s="4" t="s">
        <v>6</v>
      </c>
    </row>
    <row r="12" customFormat="false" ht="30" hidden="false" customHeight="true" outlineLevel="0" collapsed="false">
      <c r="B12" s="3" t="s">
        <v>7</v>
      </c>
    </row>
    <row r="13" customFormat="false" ht="15" hidden="false" customHeight="false" outlineLevel="0" collapsed="false">
      <c r="B13" s="3" t="s">
        <v>8</v>
      </c>
    </row>
    <row r="14" customFormat="false" ht="15" hidden="false" customHeight="false" outlineLevel="0" collapsed="false">
      <c r="B14" s="3" t="s">
        <v>9</v>
      </c>
    </row>
    <row r="15" customFormat="false" ht="30" hidden="false" customHeight="true" outlineLevel="0" collapsed="false">
      <c r="B15" s="3" t="s">
        <v>10</v>
      </c>
    </row>
    <row r="16" customFormat="false" ht="30" hidden="false" customHeight="true" outlineLevel="0" collapsed="false">
      <c r="B16" s="3" t="s">
        <v>11</v>
      </c>
    </row>
    <row r="17" customFormat="false" ht="30" hidden="false" customHeight="true" outlineLevel="0" collapsed="false">
      <c r="B17" s="3" t="s">
        <v>12</v>
      </c>
    </row>
    <row r="18" customFormat="false" ht="15" hidden="false" customHeight="false" outlineLevel="0" collapsed="false">
      <c r="B18" s="3" t="s">
        <v>13</v>
      </c>
    </row>
    <row r="19" customFormat="false" ht="30" hidden="false" customHeight="true" outlineLevel="0" collapsed="false">
      <c r="B19" s="3" t="s">
        <v>14</v>
      </c>
    </row>
    <row r="20" customFormat="false" ht="15" hidden="false" customHeight="false" outlineLevel="0" collapsed="false">
      <c r="B20" s="3" t="s">
        <v>15</v>
      </c>
    </row>
    <row r="21" customFormat="false" ht="15" hidden="false" customHeight="false" outlineLevel="0" collapsed="false">
      <c r="B21" s="3" t="s">
        <v>16</v>
      </c>
    </row>
    <row r="22" customFormat="false" ht="30" hidden="false" customHeight="true" outlineLevel="0" collapsed="false">
      <c r="B22" s="3" t="s">
        <v>17</v>
      </c>
    </row>
    <row r="23" customFormat="false" ht="30" hidden="false" customHeight="true" outlineLevel="0" collapsed="false">
      <c r="B23" s="3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I2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558593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2"/>
    <col collapsed="false" customWidth="true" hidden="false" outlineLevel="0" max="9" min="3" style="0" width="12"/>
    <col collapsed="false" customWidth="true" hidden="false" outlineLevel="0" max="10" min="10" style="0" width="40"/>
  </cols>
  <sheetData>
    <row r="1" customFormat="false" ht="6" hidden="false" customHeight="true" outlineLevel="0" collapsed="false"/>
    <row r="2" customFormat="false" ht="17.35" hidden="false" customHeight="false" outlineLevel="0" collapsed="false">
      <c r="B2" s="5" t="s">
        <v>19</v>
      </c>
    </row>
    <row r="3" customFormat="false" ht="15" hidden="false" customHeight="false" outlineLevel="0" collapsed="false">
      <c r="B3" s="6" t="s">
        <v>20</v>
      </c>
    </row>
    <row r="4" customFormat="false" ht="15" hidden="false" customHeight="false" outlineLevel="0" collapsed="false">
      <c r="B4" s="7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8" t="s">
        <v>27</v>
      </c>
      <c r="I4" s="8" t="s">
        <v>28</v>
      </c>
    </row>
    <row r="5" customFormat="false" ht="15" hidden="false" customHeight="false" outlineLevel="0" collapsed="false">
      <c r="B5" s="9" t="s">
        <v>29</v>
      </c>
      <c r="C5" s="10" t="n">
        <v>985</v>
      </c>
      <c r="D5" s="10" t="n">
        <v>1040</v>
      </c>
      <c r="E5" s="10" t="n">
        <v>1085</v>
      </c>
      <c r="F5" s="10" t="n">
        <v>1120</v>
      </c>
      <c r="G5" s="9"/>
      <c r="H5" s="9"/>
      <c r="I5" s="9"/>
    </row>
    <row r="6" customFormat="false" ht="15" hidden="false" customHeight="false" outlineLevel="0" collapsed="false">
      <c r="B6" s="9" t="s">
        <v>30</v>
      </c>
      <c r="C6" s="10" t="n">
        <v>478</v>
      </c>
      <c r="D6" s="10" t="n">
        <v>530</v>
      </c>
      <c r="E6" s="10" t="n">
        <v>585</v>
      </c>
      <c r="F6" s="10" t="n">
        <v>640</v>
      </c>
      <c r="G6" s="9"/>
      <c r="H6" s="9"/>
      <c r="I6" s="9"/>
    </row>
    <row r="7" customFormat="false" ht="15" hidden="false" customHeight="false" outlineLevel="0" collapsed="false">
      <c r="B7" s="9" t="s">
        <v>31</v>
      </c>
      <c r="C7" s="10" t="n">
        <v>352</v>
      </c>
      <c r="D7" s="10" t="n">
        <v>380</v>
      </c>
      <c r="E7" s="10" t="n">
        <v>410</v>
      </c>
      <c r="F7" s="10" t="n">
        <v>440</v>
      </c>
      <c r="G7" s="9"/>
      <c r="H7" s="9"/>
      <c r="I7" s="9"/>
    </row>
    <row r="8" customFormat="false" ht="15" hidden="false" customHeight="false" outlineLevel="0" collapsed="false">
      <c r="B8" s="9" t="s">
        <v>32</v>
      </c>
      <c r="C8" s="9"/>
      <c r="D8" s="9"/>
      <c r="E8" s="9"/>
      <c r="F8" s="9"/>
      <c r="G8" s="11" t="n">
        <v>0.01</v>
      </c>
      <c r="H8" s="11" t="n">
        <v>0.02</v>
      </c>
      <c r="I8" s="11" t="n">
        <v>0.025</v>
      </c>
    </row>
    <row r="9" customFormat="false" ht="15" hidden="false" customHeight="false" outlineLevel="0" collapsed="false">
      <c r="B9" s="9" t="s">
        <v>33</v>
      </c>
      <c r="C9" s="9"/>
      <c r="D9" s="9"/>
      <c r="E9" s="9"/>
      <c r="F9" s="9"/>
      <c r="G9" s="11" t="n">
        <v>0.06</v>
      </c>
      <c r="H9" s="11" t="n">
        <v>0.065</v>
      </c>
      <c r="I9" s="11" t="n">
        <v>0.06</v>
      </c>
    </row>
    <row r="10" customFormat="false" ht="15" hidden="false" customHeight="false" outlineLevel="0" collapsed="false">
      <c r="B10" s="9" t="s">
        <v>34</v>
      </c>
      <c r="C10" s="9"/>
      <c r="D10" s="9"/>
      <c r="E10" s="9"/>
      <c r="F10" s="9"/>
      <c r="G10" s="11" t="n">
        <v>0.04</v>
      </c>
      <c r="H10" s="11" t="n">
        <v>0.045</v>
      </c>
      <c r="I10" s="11" t="n">
        <v>0.045</v>
      </c>
    </row>
    <row r="11" customFormat="false" ht="15" hidden="false" customHeight="false" outlineLevel="0" collapsed="false">
      <c r="B11" s="9" t="s">
        <v>35</v>
      </c>
      <c r="C11" s="9"/>
      <c r="D11" s="11" t="n">
        <v>0.045</v>
      </c>
      <c r="E11" s="11" t="n">
        <v>0.03</v>
      </c>
      <c r="F11" s="11" t="n">
        <v>0.025</v>
      </c>
      <c r="G11" s="11" t="n">
        <v>0.025</v>
      </c>
      <c r="H11" s="11" t="n">
        <v>0.02</v>
      </c>
      <c r="I11" s="11" t="n">
        <v>0.02</v>
      </c>
    </row>
    <row r="12" customFormat="false" ht="15" hidden="false" customHeight="false" outlineLevel="0" collapsed="false">
      <c r="B12" s="9" t="s">
        <v>36</v>
      </c>
      <c r="C12" s="9"/>
      <c r="D12" s="11" t="n">
        <v>0.04</v>
      </c>
      <c r="E12" s="11" t="n">
        <v>0.03</v>
      </c>
      <c r="F12" s="11" t="n">
        <v>0.025</v>
      </c>
      <c r="G12" s="11" t="n">
        <v>0.025</v>
      </c>
      <c r="H12" s="11" t="n">
        <v>0.025</v>
      </c>
      <c r="I12" s="11" t="n">
        <v>0.02</v>
      </c>
    </row>
    <row r="13" customFormat="false" ht="15" hidden="false" customHeight="false" outlineLevel="0" collapsed="false">
      <c r="B13" s="9" t="s">
        <v>37</v>
      </c>
      <c r="C13" s="9"/>
      <c r="D13" s="11" t="n">
        <v>0.05</v>
      </c>
      <c r="E13" s="11" t="n">
        <v>0.035</v>
      </c>
      <c r="F13" s="11" t="n">
        <v>0.03</v>
      </c>
      <c r="G13" s="11" t="n">
        <v>0.03</v>
      </c>
      <c r="H13" s="11" t="n">
        <v>0.03</v>
      </c>
      <c r="I13" s="11" t="n">
        <v>0.03</v>
      </c>
    </row>
    <row r="14" customFormat="false" ht="15" hidden="false" customHeight="false" outlineLevel="0" collapsed="false">
      <c r="B14" s="9" t="s">
        <v>38</v>
      </c>
      <c r="C14" s="9"/>
      <c r="D14" s="11" t="n">
        <v>0.121</v>
      </c>
      <c r="E14" s="11" t="n">
        <v>0.126</v>
      </c>
      <c r="F14" s="11" t="n">
        <v>0.13</v>
      </c>
      <c r="G14" s="11" t="n">
        <v>0.132</v>
      </c>
      <c r="H14" s="11" t="n">
        <v>0.136</v>
      </c>
      <c r="I14" s="11" t="n">
        <v>0.14</v>
      </c>
    </row>
    <row r="15" customFormat="false" ht="15" hidden="false" customHeight="false" outlineLevel="0" collapsed="false">
      <c r="B15" s="9" t="s">
        <v>39</v>
      </c>
      <c r="C15" s="9"/>
      <c r="D15" s="11" t="n">
        <v>0.195</v>
      </c>
      <c r="E15" s="11" t="n">
        <v>0.203</v>
      </c>
      <c r="F15" s="11" t="n">
        <v>0.21</v>
      </c>
      <c r="G15" s="11" t="n">
        <v>0.218</v>
      </c>
      <c r="H15" s="11" t="n">
        <v>0.225</v>
      </c>
      <c r="I15" s="11" t="n">
        <v>0.23</v>
      </c>
    </row>
    <row r="16" customFormat="false" ht="15" hidden="false" customHeight="false" outlineLevel="0" collapsed="false">
      <c r="B16" s="9" t="s">
        <v>40</v>
      </c>
      <c r="C16" s="9"/>
      <c r="D16" s="11" t="n">
        <v>0.23</v>
      </c>
      <c r="E16" s="11" t="n">
        <v>0.235</v>
      </c>
      <c r="F16" s="11" t="n">
        <v>0.24</v>
      </c>
      <c r="G16" s="11" t="n">
        <v>0.243</v>
      </c>
      <c r="H16" s="11" t="n">
        <v>0.246</v>
      </c>
      <c r="I16" s="11" t="n">
        <v>0.248</v>
      </c>
    </row>
    <row r="17" customFormat="false" ht="15" hidden="false" customHeight="false" outlineLevel="0" collapsed="false">
      <c r="B17" s="9" t="s">
        <v>41</v>
      </c>
      <c r="C17" s="9"/>
      <c r="D17" s="10" t="n">
        <v>44</v>
      </c>
      <c r="E17" s="10" t="n">
        <v>46</v>
      </c>
      <c r="F17" s="10" t="n">
        <v>48</v>
      </c>
      <c r="G17" s="10" t="n">
        <v>50</v>
      </c>
      <c r="H17" s="10" t="n">
        <v>52</v>
      </c>
      <c r="I17" s="10" t="n">
        <v>54</v>
      </c>
    </row>
    <row r="18" customFormat="false" ht="15" hidden="false" customHeight="false" outlineLevel="0" collapsed="false">
      <c r="B18" s="9" t="s">
        <v>42</v>
      </c>
      <c r="C18" s="9"/>
      <c r="D18" s="10" t="n">
        <v>38</v>
      </c>
      <c r="E18" s="10" t="n">
        <v>38</v>
      </c>
      <c r="F18" s="10" t="n">
        <v>38</v>
      </c>
      <c r="G18" s="10" t="n">
        <v>38</v>
      </c>
      <c r="H18" s="10" t="n">
        <v>36</v>
      </c>
      <c r="I18" s="10" t="n">
        <v>34</v>
      </c>
    </row>
    <row r="19" customFormat="false" ht="15" hidden="false" customHeight="false" outlineLevel="0" collapsed="false">
      <c r="B19" s="9" t="s">
        <v>43</v>
      </c>
      <c r="C19" s="9"/>
      <c r="D19" s="10" t="n">
        <v>0</v>
      </c>
      <c r="E19" s="10" t="n">
        <v>15</v>
      </c>
      <c r="F19" s="10" t="n">
        <v>22</v>
      </c>
      <c r="G19" s="10" t="n">
        <v>12</v>
      </c>
      <c r="H19" s="10" t="n">
        <v>0</v>
      </c>
      <c r="I19" s="10" t="n">
        <v>0</v>
      </c>
    </row>
    <row r="20" customFormat="false" ht="15" hidden="false" customHeight="false" outlineLevel="0" collapsed="false">
      <c r="B20" s="9" t="s">
        <v>44</v>
      </c>
      <c r="C20" s="9"/>
      <c r="D20" s="10" t="n">
        <v>58</v>
      </c>
      <c r="E20" s="10" t="n">
        <v>55</v>
      </c>
      <c r="F20" s="10" t="n">
        <v>52</v>
      </c>
      <c r="G20" s="9"/>
      <c r="H20" s="9"/>
      <c r="I20" s="9"/>
    </row>
    <row r="21" customFormat="false" ht="15" hidden="false" customHeight="false" outlineLevel="0" collapsed="false">
      <c r="B21" s="9" t="s">
        <v>45</v>
      </c>
      <c r="C21" s="9"/>
      <c r="D21" s="12" t="n">
        <v>57</v>
      </c>
      <c r="E21" s="12" t="n">
        <v>56.3</v>
      </c>
      <c r="F21" s="12" t="n">
        <v>55.6</v>
      </c>
      <c r="G21" s="12" t="n">
        <v>55</v>
      </c>
      <c r="H21" s="12" t="n">
        <v>54.4</v>
      </c>
      <c r="I21" s="12" t="n">
        <v>53.8</v>
      </c>
    </row>
    <row r="22" customFormat="false" ht="15" hidden="false" customHeight="false" outlineLevel="0" collapsed="false">
      <c r="B22" s="9" t="s">
        <v>46</v>
      </c>
      <c r="C22" s="9"/>
      <c r="D22" s="13" t="n">
        <v>0.9</v>
      </c>
      <c r="E22" s="13" t="n">
        <v>0.96</v>
      </c>
      <c r="F22" s="13" t="n">
        <v>1.02</v>
      </c>
      <c r="G22" s="13" t="n">
        <v>1.1</v>
      </c>
      <c r="H22" s="13" t="n">
        <v>1.2</v>
      </c>
      <c r="I22" s="13" t="n">
        <v>1.3</v>
      </c>
    </row>
    <row r="23" customFormat="false" ht="15" hidden="false" customHeight="false" outlineLevel="0" collapsed="false">
      <c r="B23" s="9" t="s">
        <v>47</v>
      </c>
      <c r="C23" s="9"/>
      <c r="D23" s="10" t="n">
        <v>1210</v>
      </c>
      <c r="E23" s="10" t="n">
        <v>1160</v>
      </c>
      <c r="F23" s="10" t="n">
        <v>1100</v>
      </c>
      <c r="G23" s="9"/>
      <c r="H23" s="9"/>
      <c r="I23" s="9"/>
    </row>
    <row r="24" customFormat="false" ht="15" hidden="false" customHeight="false" outlineLevel="0" collapsed="false">
      <c r="B24" s="9" t="s">
        <v>48</v>
      </c>
      <c r="C24" s="9"/>
      <c r="D24" s="9"/>
      <c r="E24" s="9"/>
      <c r="F24" s="9"/>
      <c r="G24" s="10" t="n">
        <v>55</v>
      </c>
      <c r="H24" s="10" t="n">
        <v>55</v>
      </c>
      <c r="I24" s="10" t="n">
        <v>55</v>
      </c>
    </row>
    <row r="25" customFormat="false" ht="15" hidden="false" customHeight="false" outlineLevel="0" collapsed="false">
      <c r="B25" s="6" t="s">
        <v>49</v>
      </c>
    </row>
    <row r="27" customFormat="false" ht="15" hidden="false" customHeight="false" outlineLevel="0" collapsed="false">
      <c r="B27" s="7" t="s">
        <v>50</v>
      </c>
      <c r="C27" s="8"/>
      <c r="D27" s="8"/>
      <c r="E27" s="8"/>
      <c r="F27" s="8"/>
      <c r="G27" s="8" t="s">
        <v>26</v>
      </c>
      <c r="H27" s="8" t="s">
        <v>27</v>
      </c>
      <c r="I27" s="8" t="s">
        <v>28</v>
      </c>
    </row>
    <row r="28" customFormat="false" ht="15" hidden="false" customHeight="false" outlineLevel="0" collapsed="false">
      <c r="B28" s="9" t="s">
        <v>32</v>
      </c>
      <c r="C28" s="9"/>
      <c r="D28" s="9"/>
      <c r="E28" s="9"/>
      <c r="G28" s="11" t="n">
        <v>-0.005</v>
      </c>
      <c r="H28" s="11" t="n">
        <v>0.015</v>
      </c>
      <c r="I28" s="14" t="n">
        <f aca="false">$I$8</f>
        <v>0.025</v>
      </c>
    </row>
    <row r="29" customFormat="false" ht="15" hidden="false" customHeight="false" outlineLevel="0" collapsed="false">
      <c r="B29" s="9" t="s">
        <v>33</v>
      </c>
      <c r="C29" s="9"/>
      <c r="D29" s="9"/>
      <c r="E29" s="9"/>
      <c r="G29" s="11" t="n">
        <v>0.085</v>
      </c>
      <c r="H29" s="11" t="n">
        <v>0.075</v>
      </c>
      <c r="I29" s="11" t="n">
        <v>0.065</v>
      </c>
    </row>
    <row r="30" customFormat="false" ht="15" hidden="false" customHeight="false" outlineLevel="0" collapsed="false">
      <c r="B30" s="9" t="s">
        <v>34</v>
      </c>
      <c r="C30" s="9"/>
      <c r="D30" s="9"/>
      <c r="E30" s="9"/>
      <c r="G30" s="14" t="n">
        <f aca="false">$G$10</f>
        <v>0.04</v>
      </c>
      <c r="H30" s="14" t="n">
        <f aca="false">$H$10</f>
        <v>0.045</v>
      </c>
      <c r="I30" s="14" t="n">
        <f aca="false">$I$10</f>
        <v>0.045</v>
      </c>
    </row>
    <row r="31" customFormat="false" ht="15" hidden="false" customHeight="false" outlineLevel="0" collapsed="false">
      <c r="B31" s="9" t="s">
        <v>35</v>
      </c>
      <c r="C31" s="9"/>
      <c r="D31" s="9"/>
      <c r="E31" s="9"/>
      <c r="G31" s="14" t="n">
        <f aca="false">$G$11</f>
        <v>0.025</v>
      </c>
      <c r="H31" s="14" t="n">
        <f aca="false">$H$11</f>
        <v>0.02</v>
      </c>
      <c r="I31" s="14" t="n">
        <f aca="false">$I$11</f>
        <v>0.02</v>
      </c>
    </row>
    <row r="32" customFormat="false" ht="15" hidden="false" customHeight="false" outlineLevel="0" collapsed="false">
      <c r="B32" s="9" t="s">
        <v>36</v>
      </c>
      <c r="C32" s="9"/>
      <c r="D32" s="9"/>
      <c r="E32" s="9"/>
      <c r="G32" s="14" t="n">
        <f aca="false">$G$12</f>
        <v>0.025</v>
      </c>
      <c r="H32" s="14" t="n">
        <f aca="false">$H$12</f>
        <v>0.025</v>
      </c>
      <c r="I32" s="14" t="n">
        <f aca="false">$I$12</f>
        <v>0.02</v>
      </c>
    </row>
    <row r="33" customFormat="false" ht="15" hidden="false" customHeight="false" outlineLevel="0" collapsed="false">
      <c r="B33" s="9" t="s">
        <v>37</v>
      </c>
      <c r="C33" s="9"/>
      <c r="D33" s="9"/>
      <c r="E33" s="9"/>
      <c r="G33" s="14" t="n">
        <f aca="false">$G$13</f>
        <v>0.03</v>
      </c>
      <c r="H33" s="14" t="n">
        <f aca="false">$H$13</f>
        <v>0.03</v>
      </c>
      <c r="I33" s="14" t="n">
        <f aca="false">$I$13</f>
        <v>0.03</v>
      </c>
    </row>
    <row r="34" customFormat="false" ht="15" hidden="false" customHeight="false" outlineLevel="0" collapsed="false">
      <c r="B34" s="9" t="s">
        <v>38</v>
      </c>
      <c r="C34" s="9"/>
      <c r="D34" s="9"/>
      <c r="E34" s="9"/>
      <c r="G34" s="11" t="n">
        <v>0.128</v>
      </c>
      <c r="H34" s="11" t="n">
        <v>0.134</v>
      </c>
      <c r="I34" s="11" t="n">
        <v>0.139</v>
      </c>
    </row>
    <row r="35" customFormat="false" ht="15" hidden="false" customHeight="false" outlineLevel="0" collapsed="false">
      <c r="B35" s="9" t="s">
        <v>39</v>
      </c>
      <c r="C35" s="9"/>
      <c r="D35" s="9"/>
      <c r="E35" s="9"/>
      <c r="G35" s="11" t="n">
        <v>0.223</v>
      </c>
      <c r="H35" s="11" t="n">
        <v>0.229</v>
      </c>
      <c r="I35" s="11" t="n">
        <v>0.233</v>
      </c>
    </row>
    <row r="36" customFormat="false" ht="15" hidden="false" customHeight="false" outlineLevel="0" collapsed="false">
      <c r="B36" s="9" t="s">
        <v>40</v>
      </c>
      <c r="C36" s="9"/>
      <c r="D36" s="9"/>
      <c r="E36" s="9"/>
      <c r="G36" s="14" t="n">
        <f aca="false">$G$16</f>
        <v>0.243</v>
      </c>
      <c r="H36" s="14" t="n">
        <f aca="false">$H$16</f>
        <v>0.246</v>
      </c>
      <c r="I36" s="14" t="n">
        <f aca="false">$I$16</f>
        <v>0.248</v>
      </c>
    </row>
    <row r="37" customFormat="false" ht="15" hidden="false" customHeight="false" outlineLevel="0" collapsed="false">
      <c r="B37" s="9" t="s">
        <v>41</v>
      </c>
      <c r="C37" s="9"/>
      <c r="D37" s="9"/>
      <c r="E37" s="9"/>
      <c r="G37" s="15" t="n">
        <f aca="false">$G$17</f>
        <v>50</v>
      </c>
      <c r="H37" s="15" t="n">
        <f aca="false">$H$17</f>
        <v>52</v>
      </c>
      <c r="I37" s="15" t="n">
        <f aca="false">$I$17</f>
        <v>54</v>
      </c>
    </row>
    <row r="38" customFormat="false" ht="15" hidden="false" customHeight="false" outlineLevel="0" collapsed="false">
      <c r="B38" s="9" t="s">
        <v>42</v>
      </c>
      <c r="C38" s="9"/>
      <c r="D38" s="9"/>
      <c r="E38" s="9"/>
      <c r="G38" s="15" t="n">
        <f aca="false">$G$18</f>
        <v>38</v>
      </c>
      <c r="H38" s="15" t="n">
        <f aca="false">$H$18</f>
        <v>36</v>
      </c>
      <c r="I38" s="15" t="n">
        <f aca="false">$I$18</f>
        <v>34</v>
      </c>
    </row>
    <row r="39" customFormat="false" ht="15" hidden="false" customHeight="false" outlineLevel="0" collapsed="false">
      <c r="B39" s="9" t="s">
        <v>43</v>
      </c>
      <c r="C39" s="9"/>
      <c r="D39" s="9"/>
      <c r="E39" s="9"/>
      <c r="G39" s="15" t="n">
        <f aca="false">$G$19</f>
        <v>12</v>
      </c>
      <c r="H39" s="15" t="n">
        <f aca="false">$H$19</f>
        <v>0</v>
      </c>
      <c r="I39" s="15" t="n">
        <f aca="false">$I$19</f>
        <v>0</v>
      </c>
    </row>
    <row r="40" customFormat="false" ht="15" hidden="false" customHeight="false" outlineLevel="0" collapsed="false">
      <c r="B40" s="9" t="s">
        <v>45</v>
      </c>
      <c r="C40" s="9"/>
      <c r="D40" s="9"/>
      <c r="E40" s="9"/>
      <c r="G40" s="16" t="n">
        <f aca="false">$G$21</f>
        <v>55</v>
      </c>
      <c r="H40" s="16" t="n">
        <f aca="false">$H$21</f>
        <v>54.4</v>
      </c>
      <c r="I40" s="16" t="n">
        <f aca="false">$I$21</f>
        <v>53.8</v>
      </c>
    </row>
    <row r="41" customFormat="false" ht="15" hidden="false" customHeight="false" outlineLevel="0" collapsed="false">
      <c r="B41" s="9" t="s">
        <v>46</v>
      </c>
      <c r="C41" s="9"/>
      <c r="D41" s="9"/>
      <c r="E41" s="9"/>
      <c r="G41" s="17" t="n">
        <f aca="false">$G$22</f>
        <v>1.1</v>
      </c>
      <c r="H41" s="17" t="n">
        <f aca="false">$H$22</f>
        <v>1.2</v>
      </c>
      <c r="I41" s="17" t="n">
        <f aca="false">$I$22</f>
        <v>1.3</v>
      </c>
    </row>
    <row r="42" customFormat="false" ht="15" hidden="false" customHeight="false" outlineLevel="0" collapsed="false">
      <c r="B42" s="9" t="s">
        <v>48</v>
      </c>
      <c r="C42" s="9"/>
      <c r="D42" s="9"/>
      <c r="E42" s="9"/>
      <c r="G42" s="15" t="n">
        <f aca="false">$G$24</f>
        <v>55</v>
      </c>
      <c r="H42" s="15" t="n">
        <f aca="false">$H$24</f>
        <v>55</v>
      </c>
      <c r="I42" s="15" t="n">
        <f aca="false">$I$24</f>
        <v>55</v>
      </c>
    </row>
    <row r="44" customFormat="false" ht="15" hidden="false" customHeight="false" outlineLevel="0" collapsed="false">
      <c r="B44" s="7" t="s">
        <v>51</v>
      </c>
      <c r="C44" s="8"/>
      <c r="D44" s="8"/>
      <c r="E44" s="8"/>
      <c r="F44" s="8"/>
      <c r="G44" s="8" t="s">
        <v>26</v>
      </c>
      <c r="H44" s="8" t="s">
        <v>27</v>
      </c>
      <c r="I44" s="8" t="s">
        <v>28</v>
      </c>
    </row>
    <row r="45" customFormat="false" ht="15" hidden="false" customHeight="false" outlineLevel="0" collapsed="false">
      <c r="B45" s="9" t="s">
        <v>32</v>
      </c>
      <c r="C45" s="9"/>
      <c r="D45" s="9"/>
      <c r="E45" s="9"/>
      <c r="G45" s="11" t="n">
        <v>-0.03</v>
      </c>
      <c r="H45" s="11" t="n">
        <v>-0.01</v>
      </c>
      <c r="I45" s="11" t="n">
        <v>0.01</v>
      </c>
    </row>
    <row r="46" customFormat="false" ht="15" hidden="false" customHeight="false" outlineLevel="0" collapsed="false">
      <c r="B46" s="9" t="s">
        <v>33</v>
      </c>
      <c r="C46" s="9"/>
      <c r="D46" s="9"/>
      <c r="E46" s="9"/>
      <c r="G46" s="11" t="n">
        <v>0.03</v>
      </c>
      <c r="H46" s="11" t="n">
        <v>0.035</v>
      </c>
      <c r="I46" s="11" t="n">
        <v>0.04</v>
      </c>
    </row>
    <row r="47" customFormat="false" ht="15" hidden="false" customHeight="false" outlineLevel="0" collapsed="false">
      <c r="B47" s="9" t="s">
        <v>34</v>
      </c>
      <c r="C47" s="9"/>
      <c r="D47" s="9"/>
      <c r="E47" s="9"/>
      <c r="G47" s="11" t="n">
        <v>0.03</v>
      </c>
      <c r="H47" s="11" t="n">
        <v>0.035</v>
      </c>
      <c r="I47" s="11" t="n">
        <v>0.035</v>
      </c>
    </row>
    <row r="48" customFormat="false" ht="15" hidden="false" customHeight="false" outlineLevel="0" collapsed="false">
      <c r="B48" s="9" t="s">
        <v>35</v>
      </c>
      <c r="C48" s="9"/>
      <c r="D48" s="9"/>
      <c r="E48" s="9"/>
      <c r="G48" s="14" t="n">
        <f aca="false">$G$11</f>
        <v>0.025</v>
      </c>
      <c r="H48" s="14" t="n">
        <f aca="false">$H$11</f>
        <v>0.02</v>
      </c>
      <c r="I48" s="14" t="n">
        <f aca="false">$I$11</f>
        <v>0.02</v>
      </c>
    </row>
    <row r="49" customFormat="false" ht="15" hidden="false" customHeight="false" outlineLevel="0" collapsed="false">
      <c r="B49" s="9" t="s">
        <v>36</v>
      </c>
      <c r="C49" s="9"/>
      <c r="D49" s="9"/>
      <c r="E49" s="9"/>
      <c r="G49" s="14" t="n">
        <f aca="false">$G$12</f>
        <v>0.025</v>
      </c>
      <c r="H49" s="14" t="n">
        <f aca="false">$H$12</f>
        <v>0.025</v>
      </c>
      <c r="I49" s="14" t="n">
        <f aca="false">$I$12</f>
        <v>0.02</v>
      </c>
    </row>
    <row r="50" customFormat="false" ht="15" hidden="false" customHeight="false" outlineLevel="0" collapsed="false">
      <c r="B50" s="9" t="s">
        <v>37</v>
      </c>
      <c r="C50" s="9"/>
      <c r="D50" s="9"/>
      <c r="E50" s="9"/>
      <c r="G50" s="14" t="n">
        <f aca="false">$G$13</f>
        <v>0.03</v>
      </c>
      <c r="H50" s="14" t="n">
        <f aca="false">$H$13</f>
        <v>0.03</v>
      </c>
      <c r="I50" s="14" t="n">
        <f aca="false">$I$13</f>
        <v>0.03</v>
      </c>
    </row>
    <row r="51" customFormat="false" ht="15" hidden="false" customHeight="false" outlineLevel="0" collapsed="false">
      <c r="B51" s="9" t="s">
        <v>38</v>
      </c>
      <c r="C51" s="9"/>
      <c r="D51" s="9"/>
      <c r="E51" s="9"/>
      <c r="G51" s="11" t="n">
        <v>0.124</v>
      </c>
      <c r="H51" s="11" t="n">
        <v>0.122</v>
      </c>
      <c r="I51" s="11" t="n">
        <v>0.126</v>
      </c>
    </row>
    <row r="52" customFormat="false" ht="15" hidden="false" customHeight="false" outlineLevel="0" collapsed="false">
      <c r="B52" s="9" t="s">
        <v>39</v>
      </c>
      <c r="C52" s="9"/>
      <c r="D52" s="9"/>
      <c r="E52" s="9"/>
      <c r="G52" s="11" t="n">
        <v>0.21</v>
      </c>
      <c r="H52" s="11" t="n">
        <v>0.212</v>
      </c>
      <c r="I52" s="11" t="n">
        <v>0.216</v>
      </c>
    </row>
    <row r="53" customFormat="false" ht="15" hidden="false" customHeight="false" outlineLevel="0" collapsed="false">
      <c r="B53" s="9" t="s">
        <v>40</v>
      </c>
      <c r="C53" s="9"/>
      <c r="D53" s="9"/>
      <c r="E53" s="9"/>
      <c r="G53" s="11" t="n">
        <v>0.24</v>
      </c>
      <c r="H53" s="11" t="n">
        <v>0.241</v>
      </c>
      <c r="I53" s="11" t="n">
        <v>0.242</v>
      </c>
    </row>
    <row r="54" customFormat="false" ht="15" hidden="false" customHeight="false" outlineLevel="0" collapsed="false">
      <c r="B54" s="9" t="s">
        <v>41</v>
      </c>
      <c r="C54" s="9"/>
      <c r="D54" s="9"/>
      <c r="E54" s="9"/>
      <c r="G54" s="15" t="n">
        <f aca="false">$G$17</f>
        <v>50</v>
      </c>
      <c r="H54" s="15" t="n">
        <f aca="false">$H$17</f>
        <v>52</v>
      </c>
      <c r="I54" s="15" t="n">
        <f aca="false">$I$17</f>
        <v>54</v>
      </c>
    </row>
    <row r="55" customFormat="false" ht="15" hidden="false" customHeight="false" outlineLevel="0" collapsed="false">
      <c r="B55" s="9" t="s">
        <v>42</v>
      </c>
      <c r="C55" s="9"/>
      <c r="D55" s="9"/>
      <c r="E55" s="9"/>
      <c r="G55" s="15" t="n">
        <f aca="false">$G$18</f>
        <v>38</v>
      </c>
      <c r="H55" s="15" t="n">
        <f aca="false">$H$18</f>
        <v>36</v>
      </c>
      <c r="I55" s="15" t="n">
        <f aca="false">$I$18</f>
        <v>34</v>
      </c>
    </row>
    <row r="56" customFormat="false" ht="15" hidden="false" customHeight="false" outlineLevel="0" collapsed="false">
      <c r="B56" s="9" t="s">
        <v>43</v>
      </c>
      <c r="C56" s="9"/>
      <c r="D56" s="9"/>
      <c r="E56" s="9"/>
      <c r="G56" s="15" t="n">
        <f aca="false">$G$19</f>
        <v>12</v>
      </c>
      <c r="H56" s="15" t="n">
        <f aca="false">$H$19</f>
        <v>0</v>
      </c>
      <c r="I56" s="15" t="n">
        <f aca="false">$I$19</f>
        <v>0</v>
      </c>
    </row>
    <row r="57" customFormat="false" ht="15" hidden="false" customHeight="false" outlineLevel="0" collapsed="false">
      <c r="B57" s="9" t="s">
        <v>45</v>
      </c>
      <c r="C57" s="9"/>
      <c r="D57" s="9"/>
      <c r="E57" s="9"/>
      <c r="G57" s="16" t="n">
        <f aca="false">$G$21</f>
        <v>55</v>
      </c>
      <c r="H57" s="16" t="n">
        <f aca="false">$H$21</f>
        <v>54.4</v>
      </c>
      <c r="I57" s="16" t="n">
        <f aca="false">$I$21</f>
        <v>53.8</v>
      </c>
    </row>
    <row r="58" customFormat="false" ht="15" hidden="false" customHeight="false" outlineLevel="0" collapsed="false">
      <c r="B58" s="9" t="s">
        <v>46</v>
      </c>
      <c r="C58" s="9"/>
      <c r="D58" s="9"/>
      <c r="E58" s="9"/>
      <c r="G58" s="17" t="n">
        <f aca="false">$G$22</f>
        <v>1.1</v>
      </c>
      <c r="H58" s="17" t="n">
        <f aca="false">$H$22</f>
        <v>1.2</v>
      </c>
      <c r="I58" s="17" t="n">
        <f aca="false">$I$22</f>
        <v>1.3</v>
      </c>
    </row>
    <row r="59" customFormat="false" ht="15" hidden="false" customHeight="false" outlineLevel="0" collapsed="false">
      <c r="B59" s="9" t="s">
        <v>48</v>
      </c>
      <c r="C59" s="9"/>
      <c r="D59" s="9"/>
      <c r="E59" s="9"/>
      <c r="G59" s="15" t="n">
        <f aca="false">$G$24</f>
        <v>55</v>
      </c>
      <c r="H59" s="15" t="n">
        <f aca="false">$H$24</f>
        <v>55</v>
      </c>
      <c r="I59" s="15" t="n">
        <f aca="false">$I$24</f>
        <v>55</v>
      </c>
    </row>
    <row r="61" customFormat="false" ht="15" hidden="false" customHeight="false" outlineLevel="0" collapsed="false">
      <c r="B61" s="7" t="s">
        <v>52</v>
      </c>
      <c r="C61" s="8"/>
      <c r="D61" s="8"/>
      <c r="E61" s="8"/>
      <c r="F61" s="8"/>
      <c r="G61" s="8" t="s">
        <v>26</v>
      </c>
      <c r="H61" s="8" t="s">
        <v>27</v>
      </c>
      <c r="I61" s="8" t="s">
        <v>28</v>
      </c>
    </row>
    <row r="62" customFormat="false" ht="15" hidden="false" customHeight="false" outlineLevel="0" collapsed="false">
      <c r="B62" s="9" t="s">
        <v>32</v>
      </c>
      <c r="C62" s="9"/>
      <c r="D62" s="9"/>
      <c r="E62" s="9"/>
      <c r="G62" s="11" t="n">
        <v>0.03</v>
      </c>
      <c r="H62" s="11" t="n">
        <v>0.035</v>
      </c>
      <c r="I62" s="11" t="n">
        <v>0.035</v>
      </c>
    </row>
    <row r="63" customFormat="false" ht="15" hidden="false" customHeight="false" outlineLevel="0" collapsed="false">
      <c r="B63" s="9" t="s">
        <v>33</v>
      </c>
      <c r="C63" s="9"/>
      <c r="D63" s="9"/>
      <c r="E63" s="9"/>
      <c r="G63" s="11" t="n">
        <v>0.085</v>
      </c>
      <c r="H63" s="11" t="n">
        <v>0.085</v>
      </c>
      <c r="I63" s="11" t="n">
        <v>0.075</v>
      </c>
    </row>
    <row r="64" customFormat="false" ht="15" hidden="false" customHeight="false" outlineLevel="0" collapsed="false">
      <c r="B64" s="9" t="s">
        <v>34</v>
      </c>
      <c r="C64" s="9"/>
      <c r="D64" s="9"/>
      <c r="E64" s="9"/>
      <c r="G64" s="11" t="n">
        <v>0.05</v>
      </c>
      <c r="H64" s="11" t="n">
        <v>0.055</v>
      </c>
      <c r="I64" s="11" t="n">
        <v>0.055</v>
      </c>
    </row>
    <row r="65" customFormat="false" ht="15" hidden="false" customHeight="false" outlineLevel="0" collapsed="false">
      <c r="B65" s="9" t="s">
        <v>35</v>
      </c>
      <c r="C65" s="9"/>
      <c r="D65" s="9"/>
      <c r="E65" s="9"/>
      <c r="G65" s="14" t="n">
        <f aca="false">$G$11</f>
        <v>0.025</v>
      </c>
      <c r="H65" s="14" t="n">
        <f aca="false">$H$11</f>
        <v>0.02</v>
      </c>
      <c r="I65" s="14" t="n">
        <f aca="false">$I$11</f>
        <v>0.02</v>
      </c>
    </row>
    <row r="66" customFormat="false" ht="15" hidden="false" customHeight="false" outlineLevel="0" collapsed="false">
      <c r="B66" s="9" t="s">
        <v>36</v>
      </c>
      <c r="C66" s="9"/>
      <c r="D66" s="9"/>
      <c r="E66" s="9"/>
      <c r="G66" s="14" t="n">
        <f aca="false">$G$12</f>
        <v>0.025</v>
      </c>
      <c r="H66" s="14" t="n">
        <f aca="false">$H$12</f>
        <v>0.025</v>
      </c>
      <c r="I66" s="14" t="n">
        <f aca="false">$I$12</f>
        <v>0.02</v>
      </c>
    </row>
    <row r="67" customFormat="false" ht="15" hidden="false" customHeight="false" outlineLevel="0" collapsed="false">
      <c r="B67" s="9" t="s">
        <v>37</v>
      </c>
      <c r="C67" s="9"/>
      <c r="D67" s="9"/>
      <c r="E67" s="9"/>
      <c r="G67" s="14" t="n">
        <f aca="false">$G$13</f>
        <v>0.03</v>
      </c>
      <c r="H67" s="14" t="n">
        <f aca="false">$H$13</f>
        <v>0.03</v>
      </c>
      <c r="I67" s="14" t="n">
        <f aca="false">$I$13</f>
        <v>0.03</v>
      </c>
    </row>
    <row r="68" customFormat="false" ht="15" hidden="false" customHeight="false" outlineLevel="0" collapsed="false">
      <c r="B68" s="9" t="s">
        <v>38</v>
      </c>
      <c r="C68" s="9"/>
      <c r="D68" s="9"/>
      <c r="E68" s="9"/>
      <c r="G68" s="11" t="n">
        <v>0.136</v>
      </c>
      <c r="H68" s="11" t="n">
        <v>0.142</v>
      </c>
      <c r="I68" s="11" t="n">
        <v>0.146</v>
      </c>
    </row>
    <row r="69" customFormat="false" ht="15" hidden="false" customHeight="false" outlineLevel="0" collapsed="false">
      <c r="B69" s="9" t="s">
        <v>39</v>
      </c>
      <c r="C69" s="9"/>
      <c r="D69" s="9"/>
      <c r="E69" s="9"/>
      <c r="G69" s="11" t="n">
        <v>0.224</v>
      </c>
      <c r="H69" s="11" t="n">
        <v>0.233</v>
      </c>
      <c r="I69" s="11" t="n">
        <v>0.24</v>
      </c>
    </row>
    <row r="70" customFormat="false" ht="15" hidden="false" customHeight="false" outlineLevel="0" collapsed="false">
      <c r="B70" s="9" t="s">
        <v>40</v>
      </c>
      <c r="C70" s="9"/>
      <c r="D70" s="9"/>
      <c r="E70" s="9"/>
      <c r="G70" s="11" t="n">
        <v>0.245</v>
      </c>
      <c r="H70" s="11" t="n">
        <v>0.249</v>
      </c>
      <c r="I70" s="11" t="n">
        <v>0.252</v>
      </c>
    </row>
    <row r="71" customFormat="false" ht="15" hidden="false" customHeight="false" outlineLevel="0" collapsed="false">
      <c r="B71" s="9" t="s">
        <v>41</v>
      </c>
      <c r="C71" s="9"/>
      <c r="D71" s="9"/>
      <c r="E71" s="9"/>
      <c r="G71" s="15" t="n">
        <f aca="false">$G$17</f>
        <v>50</v>
      </c>
      <c r="H71" s="15" t="n">
        <f aca="false">$H$17</f>
        <v>52</v>
      </c>
      <c r="I71" s="15" t="n">
        <f aca="false">$I$17</f>
        <v>54</v>
      </c>
    </row>
    <row r="72" customFormat="false" ht="15" hidden="false" customHeight="false" outlineLevel="0" collapsed="false">
      <c r="B72" s="9" t="s">
        <v>42</v>
      </c>
      <c r="C72" s="9"/>
      <c r="D72" s="9"/>
      <c r="E72" s="9"/>
      <c r="G72" s="15" t="n">
        <f aca="false">$G$18</f>
        <v>38</v>
      </c>
      <c r="H72" s="15" t="n">
        <f aca="false">$H$18</f>
        <v>36</v>
      </c>
      <c r="I72" s="15" t="n">
        <f aca="false">$I$18</f>
        <v>34</v>
      </c>
    </row>
    <row r="73" customFormat="false" ht="15" hidden="false" customHeight="false" outlineLevel="0" collapsed="false">
      <c r="B73" s="9" t="s">
        <v>43</v>
      </c>
      <c r="C73" s="9"/>
      <c r="D73" s="9"/>
      <c r="E73" s="9"/>
      <c r="G73" s="15" t="n">
        <f aca="false">$G$19</f>
        <v>12</v>
      </c>
      <c r="H73" s="15" t="n">
        <f aca="false">$H$19</f>
        <v>0</v>
      </c>
      <c r="I73" s="15" t="n">
        <f aca="false">$I$19</f>
        <v>0</v>
      </c>
    </row>
    <row r="74" customFormat="false" ht="15" hidden="false" customHeight="false" outlineLevel="0" collapsed="false">
      <c r="B74" s="9" t="s">
        <v>45</v>
      </c>
      <c r="C74" s="9"/>
      <c r="D74" s="9"/>
      <c r="E74" s="9"/>
      <c r="G74" s="16" t="n">
        <f aca="false">$G$21</f>
        <v>55</v>
      </c>
      <c r="H74" s="16" t="n">
        <f aca="false">$H$21</f>
        <v>54.4</v>
      </c>
      <c r="I74" s="16" t="n">
        <f aca="false">$I$21</f>
        <v>53.8</v>
      </c>
    </row>
    <row r="75" customFormat="false" ht="15" hidden="false" customHeight="false" outlineLevel="0" collapsed="false">
      <c r="B75" s="9" t="s">
        <v>46</v>
      </c>
      <c r="C75" s="9"/>
      <c r="D75" s="9"/>
      <c r="E75" s="9"/>
      <c r="G75" s="17" t="n">
        <f aca="false">$G$22</f>
        <v>1.1</v>
      </c>
      <c r="H75" s="17" t="n">
        <f aca="false">$H$22</f>
        <v>1.2</v>
      </c>
      <c r="I75" s="17" t="n">
        <f aca="false">$I$22</f>
        <v>1.3</v>
      </c>
    </row>
    <row r="76" customFormat="false" ht="15" hidden="false" customHeight="false" outlineLevel="0" collapsed="false">
      <c r="B76" s="9" t="s">
        <v>48</v>
      </c>
      <c r="C76" s="9"/>
      <c r="D76" s="9"/>
      <c r="E76" s="9"/>
      <c r="G76" s="15" t="n">
        <f aca="false">$G$24</f>
        <v>55</v>
      </c>
      <c r="H76" s="15" t="n">
        <f aca="false">$H$24</f>
        <v>55</v>
      </c>
      <c r="I76" s="15" t="n">
        <f aca="false">$I$24</f>
        <v>55</v>
      </c>
    </row>
    <row r="78" customFormat="false" ht="15" hidden="false" customHeight="false" outlineLevel="0" collapsed="false">
      <c r="B78" s="18" t="s">
        <v>53</v>
      </c>
      <c r="C78" s="19"/>
      <c r="D78" s="19"/>
    </row>
    <row r="79" customFormat="false" ht="15" hidden="false" customHeight="false" outlineLevel="0" collapsed="false">
      <c r="B79" s="9" t="s">
        <v>54</v>
      </c>
      <c r="D79" s="11" t="n">
        <v>0.23</v>
      </c>
    </row>
    <row r="80" customFormat="false" ht="15" hidden="false" customHeight="false" outlineLevel="0" collapsed="false">
      <c r="B80" s="9" t="s">
        <v>55</v>
      </c>
      <c r="D80" s="11" t="n">
        <v>0.028</v>
      </c>
    </row>
    <row r="81" customFormat="false" ht="15" hidden="false" customHeight="false" outlineLevel="0" collapsed="false">
      <c r="B81" s="9" t="s">
        <v>56</v>
      </c>
      <c r="D81" s="11" t="n">
        <v>0.032</v>
      </c>
    </row>
    <row r="82" customFormat="false" ht="15" hidden="false" customHeight="false" outlineLevel="0" collapsed="false">
      <c r="B82" s="9" t="s">
        <v>57</v>
      </c>
      <c r="D82" s="11" t="n">
        <v>0.18</v>
      </c>
    </row>
    <row r="83" customFormat="false" ht="15" hidden="false" customHeight="false" outlineLevel="0" collapsed="false">
      <c r="B83" s="9" t="s">
        <v>58</v>
      </c>
      <c r="D83" s="11" t="n">
        <v>0.05</v>
      </c>
    </row>
    <row r="85" customFormat="false" ht="15" hidden="false" customHeight="false" outlineLevel="0" collapsed="false">
      <c r="B85" s="18" t="s">
        <v>59</v>
      </c>
      <c r="C85" s="19"/>
      <c r="D85" s="19"/>
    </row>
    <row r="86" customFormat="false" ht="15" hidden="false" customHeight="false" outlineLevel="0" collapsed="false">
      <c r="B86" s="9" t="s">
        <v>60</v>
      </c>
      <c r="C86" s="20" t="s">
        <v>61</v>
      </c>
      <c r="D86" s="13" t="n">
        <v>86.2</v>
      </c>
    </row>
    <row r="87" customFormat="false" ht="15" hidden="false" customHeight="false" outlineLevel="0" collapsed="false">
      <c r="B87" s="9" t="s">
        <v>62</v>
      </c>
      <c r="D87" s="21" t="n">
        <v>20</v>
      </c>
    </row>
    <row r="88" customFormat="false" ht="15" hidden="false" customHeight="false" outlineLevel="0" collapsed="false">
      <c r="B88" s="9" t="s">
        <v>63</v>
      </c>
      <c r="D88" s="21" t="n">
        <v>12.5</v>
      </c>
    </row>
    <row r="89" customFormat="false" ht="15" hidden="false" customHeight="false" outlineLevel="0" collapsed="false">
      <c r="B89" s="9" t="s">
        <v>64</v>
      </c>
      <c r="D89" s="21" t="n">
        <v>11</v>
      </c>
    </row>
    <row r="90" customFormat="false" ht="15" hidden="false" customHeight="false" outlineLevel="0" collapsed="false">
      <c r="B90" s="9" t="s">
        <v>65</v>
      </c>
      <c r="D90" s="21" t="n">
        <v>18</v>
      </c>
    </row>
    <row r="91" customFormat="false" ht="15" hidden="false" customHeight="false" outlineLevel="0" collapsed="false">
      <c r="B91" s="9" t="s">
        <v>66</v>
      </c>
      <c r="D91" s="21" t="n">
        <v>16</v>
      </c>
    </row>
    <row r="92" customFormat="false" ht="15" hidden="false" customHeight="false" outlineLevel="0" collapsed="false">
      <c r="B92" s="9" t="s">
        <v>67</v>
      </c>
      <c r="D92" s="21" t="n">
        <v>12</v>
      </c>
    </row>
    <row r="93" customFormat="false" ht="15" hidden="false" customHeight="false" outlineLevel="0" collapsed="false">
      <c r="B93" s="9" t="s">
        <v>68</v>
      </c>
      <c r="D93" s="22" t="n">
        <v>0.15</v>
      </c>
    </row>
    <row r="94" customFormat="false" ht="15" hidden="false" customHeight="false" outlineLevel="0" collapsed="false">
      <c r="B94" s="9" t="s">
        <v>69</v>
      </c>
      <c r="D94" s="22" t="n">
        <v>-0.05</v>
      </c>
    </row>
    <row r="95" customFormat="false" ht="15" hidden="false" customHeight="false" outlineLevel="0" collapsed="false">
      <c r="B95" s="9" t="s">
        <v>70</v>
      </c>
      <c r="D95" s="21" t="n">
        <v>20</v>
      </c>
    </row>
    <row r="97" customFormat="false" ht="15" hidden="false" customHeight="false" outlineLevel="0" collapsed="false">
      <c r="B97" s="18" t="s">
        <v>71</v>
      </c>
      <c r="C97" s="19"/>
      <c r="D97" s="19"/>
    </row>
    <row r="98" customFormat="false" ht="15" hidden="false" customHeight="false" outlineLevel="0" collapsed="false">
      <c r="B98" s="9" t="s">
        <v>72</v>
      </c>
      <c r="D98" s="11" t="n">
        <v>0.088</v>
      </c>
    </row>
    <row r="99" customFormat="false" ht="15" hidden="false" customHeight="false" outlineLevel="0" collapsed="false">
      <c r="B99" s="9" t="s">
        <v>73</v>
      </c>
      <c r="D99" s="11" t="n">
        <v>0.05</v>
      </c>
    </row>
    <row r="100" customFormat="false" ht="15" hidden="false" customHeight="false" outlineLevel="0" collapsed="false">
      <c r="B100" s="9" t="s">
        <v>74</v>
      </c>
      <c r="D100" s="22" t="n">
        <v>0.2</v>
      </c>
    </row>
    <row r="101" customFormat="false" ht="15" hidden="false" customHeight="false" outlineLevel="0" collapsed="false">
      <c r="B101" s="9" t="s">
        <v>75</v>
      </c>
      <c r="D101" s="11" t="n">
        <v>0.03</v>
      </c>
    </row>
    <row r="102" customFormat="false" ht="15" hidden="false" customHeight="false" outlineLevel="0" collapsed="false">
      <c r="B102" s="9" t="s">
        <v>76</v>
      </c>
      <c r="D102" s="12" t="n">
        <v>55.6</v>
      </c>
    </row>
    <row r="103" customFormat="false" ht="15" hidden="false" customHeight="false" outlineLevel="0" collapsed="false">
      <c r="B103" s="9" t="s">
        <v>77</v>
      </c>
      <c r="C103" s="20" t="s">
        <v>78</v>
      </c>
      <c r="D103" s="10" t="n">
        <v>1100</v>
      </c>
    </row>
    <row r="104" customFormat="false" ht="15" hidden="false" customHeight="false" outlineLevel="0" collapsed="false">
      <c r="B104" s="9" t="s">
        <v>79</v>
      </c>
      <c r="D104" s="11" t="n">
        <v>0.05</v>
      </c>
    </row>
    <row r="105" customFormat="false" ht="15" hidden="false" customHeight="false" outlineLevel="0" collapsed="false">
      <c r="B105" s="9" t="s">
        <v>80</v>
      </c>
      <c r="C105" s="20" t="s">
        <v>78</v>
      </c>
      <c r="D105" s="10" t="n">
        <v>56</v>
      </c>
    </row>
    <row r="106" customFormat="false" ht="15" hidden="false" customHeight="false" outlineLevel="0" collapsed="false">
      <c r="B106" s="9" t="s">
        <v>81</v>
      </c>
      <c r="C106" s="20" t="s">
        <v>78</v>
      </c>
      <c r="D106" s="10" t="n">
        <v>32</v>
      </c>
    </row>
    <row r="107" customFormat="false" ht="15" hidden="false" customHeight="false" outlineLevel="0" collapsed="false">
      <c r="B107" s="9" t="s">
        <v>82</v>
      </c>
      <c r="D107" s="11" t="n">
        <v>0.045</v>
      </c>
    </row>
    <row r="108" customFormat="false" ht="15" hidden="false" customHeight="false" outlineLevel="0" collapsed="false">
      <c r="B108" s="9" t="s">
        <v>83</v>
      </c>
      <c r="C108" s="20" t="s">
        <v>78</v>
      </c>
      <c r="D108" s="10" t="n">
        <v>58</v>
      </c>
    </row>
    <row r="109" customFormat="false" ht="15" hidden="false" customHeight="false" outlineLevel="0" collapsed="false">
      <c r="B109" s="9" t="s">
        <v>84</v>
      </c>
      <c r="C109" s="20" t="s">
        <v>78</v>
      </c>
      <c r="D109" s="10" t="n">
        <v>30</v>
      </c>
    </row>
    <row r="111" customFormat="false" ht="15" hidden="false" customHeight="false" outlineLevel="0" collapsed="false">
      <c r="B111" s="18" t="s">
        <v>85</v>
      </c>
      <c r="C111" s="19"/>
      <c r="D111" s="19"/>
    </row>
    <row r="112" customFormat="false" ht="15" hidden="false" customHeight="false" outlineLevel="0" collapsed="false">
      <c r="B112" s="9" t="s">
        <v>86</v>
      </c>
      <c r="D112" s="21" t="n">
        <v>16</v>
      </c>
    </row>
    <row r="113" customFormat="false" ht="15" hidden="false" customHeight="false" outlineLevel="0" collapsed="false">
      <c r="B113" s="9" t="s">
        <v>87</v>
      </c>
      <c r="D113" s="22" t="n">
        <v>0.25</v>
      </c>
    </row>
    <row r="114" customFormat="false" ht="15" hidden="false" customHeight="false" outlineLevel="0" collapsed="false">
      <c r="B114" s="9" t="s">
        <v>88</v>
      </c>
      <c r="D114" s="21" t="n">
        <v>20</v>
      </c>
    </row>
    <row r="115" customFormat="false" ht="15" hidden="false" customHeight="false" outlineLevel="0" collapsed="false">
      <c r="B115" s="9" t="s">
        <v>89</v>
      </c>
      <c r="D115" s="22" t="n">
        <v>0.5</v>
      </c>
    </row>
    <row r="116" customFormat="false" ht="15" hidden="false" customHeight="false" outlineLevel="0" collapsed="false">
      <c r="B116" s="9" t="s">
        <v>90</v>
      </c>
      <c r="D116" s="21" t="n">
        <v>23</v>
      </c>
    </row>
    <row r="117" customFormat="false" ht="15" hidden="false" customHeight="false" outlineLevel="0" collapsed="false">
      <c r="B117" s="9" t="s">
        <v>91</v>
      </c>
      <c r="D117" s="22" t="n">
        <v>0.25</v>
      </c>
    </row>
    <row r="119" customFormat="false" ht="15" hidden="false" customHeight="false" outlineLevel="0" collapsed="false">
      <c r="B119" s="7" t="s">
        <v>92</v>
      </c>
      <c r="C119" s="8" t="s">
        <v>93</v>
      </c>
      <c r="D119" s="8" t="s">
        <v>94</v>
      </c>
      <c r="E119" s="8" t="s">
        <v>95</v>
      </c>
      <c r="F119" s="8" t="s">
        <v>96</v>
      </c>
    </row>
    <row r="120" customFormat="false" ht="15" hidden="false" customHeight="false" outlineLevel="0" collapsed="false">
      <c r="B120" s="9" t="s">
        <v>97</v>
      </c>
      <c r="C120" s="21" t="n">
        <v>15.8</v>
      </c>
      <c r="D120" s="21" t="n">
        <v>10.1</v>
      </c>
      <c r="E120" s="11" t="n">
        <v>0.036</v>
      </c>
      <c r="F120" s="11" t="n">
        <v>0.138</v>
      </c>
    </row>
    <row r="121" customFormat="false" ht="15" hidden="false" customHeight="false" outlineLevel="0" collapsed="false">
      <c r="B121" s="9" t="s">
        <v>98</v>
      </c>
      <c r="C121" s="21" t="n">
        <v>23.4</v>
      </c>
      <c r="D121" s="21" t="n">
        <v>15.2</v>
      </c>
      <c r="E121" s="11" t="n">
        <v>0.078</v>
      </c>
      <c r="F121" s="11" t="n">
        <v>0.214</v>
      </c>
    </row>
    <row r="122" customFormat="false" ht="15" hidden="false" customHeight="false" outlineLevel="0" collapsed="false">
      <c r="B122" s="9" t="s">
        <v>99</v>
      </c>
      <c r="C122" s="21" t="n">
        <v>18.2</v>
      </c>
      <c r="D122" s="21" t="n">
        <v>11.9</v>
      </c>
      <c r="E122" s="11" t="n">
        <v>0.05</v>
      </c>
      <c r="F122" s="11" t="n">
        <v>0.162</v>
      </c>
    </row>
    <row r="123" customFormat="false" ht="15" hidden="false" customHeight="false" outlineLevel="0" collapsed="false">
      <c r="B123" s="9" t="s">
        <v>100</v>
      </c>
      <c r="C123" s="21" t="n">
        <v>25.1</v>
      </c>
      <c r="D123" s="21" t="n">
        <v>16.4</v>
      </c>
      <c r="E123" s="11" t="n">
        <v>0.085</v>
      </c>
      <c r="F123" s="11" t="n">
        <v>0.226</v>
      </c>
    </row>
    <row r="124" customFormat="false" ht="15" hidden="false" customHeight="false" outlineLevel="0" collapsed="false">
      <c r="B124" s="9" t="s">
        <v>101</v>
      </c>
      <c r="C124" s="21" t="n">
        <v>19.6</v>
      </c>
      <c r="D124" s="21" t="n">
        <v>12.6</v>
      </c>
      <c r="E124" s="11" t="n">
        <v>0.061</v>
      </c>
      <c r="F124" s="11" t="n">
        <v>0.181</v>
      </c>
    </row>
    <row r="125" customFormat="false" ht="15" hidden="false" customHeight="false" outlineLevel="0" collapsed="false">
      <c r="B125" s="9" t="s">
        <v>102</v>
      </c>
      <c r="C125" s="21" t="n">
        <v>14.9</v>
      </c>
      <c r="D125" s="21" t="n">
        <v>9.4</v>
      </c>
      <c r="E125" s="11" t="n">
        <v>0.03</v>
      </c>
      <c r="F125" s="11" t="n">
        <v>0.121</v>
      </c>
    </row>
    <row r="127" customFormat="false" ht="26.85" hidden="false" customHeight="false" outlineLevel="0" collapsed="false">
      <c r="B127" s="7" t="s">
        <v>103</v>
      </c>
      <c r="C127" s="8" t="s">
        <v>104</v>
      </c>
      <c r="D127" s="8" t="s">
        <v>105</v>
      </c>
      <c r="E127" s="8" t="s">
        <v>106</v>
      </c>
      <c r="F127" s="8" t="s">
        <v>107</v>
      </c>
    </row>
    <row r="128" customFormat="false" ht="15" hidden="false" customHeight="false" outlineLevel="0" collapsed="false">
      <c r="B128" s="9" t="s">
        <v>108</v>
      </c>
      <c r="C128" s="13" t="n">
        <v>4.35</v>
      </c>
      <c r="D128" s="13" t="n">
        <v>4.87</v>
      </c>
      <c r="E128" s="10" t="n">
        <v>2318</v>
      </c>
      <c r="F128" s="23" t="n">
        <v>12</v>
      </c>
    </row>
    <row r="129" customFormat="false" ht="15" hidden="false" customHeight="false" outlineLevel="0" collapsed="false">
      <c r="B129" s="9" t="s">
        <v>109</v>
      </c>
      <c r="C129" s="13" t="n">
        <v>4.26</v>
      </c>
      <c r="D129" s="13" t="n">
        <v>4.73</v>
      </c>
      <c r="E129" s="10" t="n">
        <v>2301</v>
      </c>
      <c r="F129" s="23" t="n">
        <v>25</v>
      </c>
    </row>
    <row r="130" customFormat="false" ht="15" hidden="false" customHeight="false" outlineLevel="0" collapsed="false">
      <c r="B130" s="9" t="s">
        <v>110</v>
      </c>
      <c r="C130" s="13" t="n">
        <v>4.44</v>
      </c>
      <c r="D130" s="13" t="n">
        <v>4.99</v>
      </c>
      <c r="E130" s="10" t="n">
        <v>2330</v>
      </c>
      <c r="F130" s="23" t="n">
        <v>8</v>
      </c>
    </row>
    <row r="131" customFormat="false" ht="15" hidden="false" customHeight="false" outlineLevel="0" collapsed="false">
      <c r="B131" s="9" t="s">
        <v>111</v>
      </c>
      <c r="C131" s="13" t="n">
        <v>4.17</v>
      </c>
      <c r="D131" s="13" t="n">
        <v>4.62</v>
      </c>
      <c r="E131" s="10" t="n">
        <v>2289</v>
      </c>
      <c r="F131" s="23" t="n">
        <v>140</v>
      </c>
    </row>
    <row r="132" customFormat="false" ht="15" hidden="false" customHeight="false" outlineLevel="0" collapsed="false">
      <c r="B132" s="9" t="s">
        <v>112</v>
      </c>
      <c r="C132" s="13" t="n">
        <v>4.32</v>
      </c>
      <c r="D132" s="13" t="n">
        <v>4.81</v>
      </c>
      <c r="E132" s="10" t="n">
        <v>2312</v>
      </c>
      <c r="F132" s="23" t="n">
        <v>33</v>
      </c>
    </row>
    <row r="133" customFormat="false" ht="15" hidden="false" customHeight="false" outlineLevel="0" collapsed="false">
      <c r="B133" s="9" t="s">
        <v>113</v>
      </c>
      <c r="C133" s="13" t="n">
        <v>4.38</v>
      </c>
      <c r="D133" s="13" t="n">
        <v>4.93</v>
      </c>
      <c r="E133" s="10" t="n">
        <v>2325</v>
      </c>
      <c r="F133" s="23" t="n">
        <v>19</v>
      </c>
    </row>
    <row r="134" customFormat="false" ht="15" hidden="false" customHeight="false" outlineLevel="0" collapsed="false">
      <c r="B134" s="9" t="s">
        <v>114</v>
      </c>
      <c r="C134" s="13" t="n">
        <v>4.09</v>
      </c>
      <c r="D134" s="13" t="n">
        <v>4.5</v>
      </c>
      <c r="E134" s="10" t="n">
        <v>2270</v>
      </c>
      <c r="F134" s="23" t="n">
        <v>212</v>
      </c>
    </row>
    <row r="135" customFormat="false" ht="15" hidden="false" customHeight="false" outlineLevel="0" collapsed="false">
      <c r="B135" s="9" t="s">
        <v>115</v>
      </c>
      <c r="C135" s="13" t="n">
        <v>4.3</v>
      </c>
      <c r="D135" s="13" t="n">
        <v>4.78</v>
      </c>
      <c r="E135" s="10" t="n">
        <v>2309</v>
      </c>
      <c r="F135" s="23" t="n">
        <v>47</v>
      </c>
    </row>
    <row r="136" customFormat="false" ht="15" hidden="false" customHeight="false" outlineLevel="0" collapsed="false">
      <c r="B136" s="9" t="s">
        <v>116</v>
      </c>
      <c r="C136" s="13" t="n">
        <v>4.49</v>
      </c>
      <c r="D136" s="13" t="n">
        <v>5.1</v>
      </c>
      <c r="E136" s="10" t="n">
        <v>2342</v>
      </c>
      <c r="F136" s="23" t="n">
        <v>5</v>
      </c>
    </row>
    <row r="137" customFormat="false" ht="15" hidden="false" customHeight="false" outlineLevel="0" collapsed="false">
      <c r="B137" s="9" t="s">
        <v>117</v>
      </c>
      <c r="D137" s="23" t="n">
        <v>90</v>
      </c>
    </row>
    <row r="139" customFormat="false" ht="15" hidden="false" customHeight="false" outlineLevel="0" collapsed="false">
      <c r="B139" s="18" t="s">
        <v>118</v>
      </c>
      <c r="C139" s="19"/>
      <c r="D139" s="19"/>
    </row>
    <row r="140" customFormat="false" ht="15" hidden="false" customHeight="false" outlineLevel="0" collapsed="false">
      <c r="B140" s="9" t="s">
        <v>119</v>
      </c>
      <c r="D140" s="10" t="n">
        <v>1195</v>
      </c>
    </row>
    <row r="141" customFormat="false" ht="15" hidden="false" customHeight="false" outlineLevel="0" collapsed="false">
      <c r="B141" s="9" t="s">
        <v>120</v>
      </c>
      <c r="D141" s="10" t="n">
        <v>736</v>
      </c>
    </row>
    <row r="142" customFormat="false" ht="15" hidden="false" customHeight="false" outlineLevel="0" collapsed="false">
      <c r="B142" s="9" t="s">
        <v>121</v>
      </c>
      <c r="D142" s="10" t="n">
        <v>510</v>
      </c>
    </row>
    <row r="143" customFormat="false" ht="15" hidden="false" customHeight="false" outlineLevel="0" collapsed="false">
      <c r="B143" s="9" t="s">
        <v>122</v>
      </c>
      <c r="D143" s="11" t="n">
        <v>0.135</v>
      </c>
    </row>
    <row r="144" customFormat="false" ht="15" hidden="false" customHeight="false" outlineLevel="0" collapsed="false">
      <c r="B144" s="9" t="s">
        <v>123</v>
      </c>
      <c r="D144" s="11" t="n">
        <v>0.218</v>
      </c>
    </row>
    <row r="145" customFormat="false" ht="15" hidden="false" customHeight="false" outlineLevel="0" collapsed="false">
      <c r="B145" s="9" t="s">
        <v>124</v>
      </c>
      <c r="D145" s="11" t="n">
        <v>0.245</v>
      </c>
    </row>
    <row r="146" customFormat="false" ht="15" hidden="false" customHeight="false" outlineLevel="0" collapsed="false">
      <c r="B146" s="9" t="s">
        <v>125</v>
      </c>
      <c r="D146" s="10" t="n">
        <v>52</v>
      </c>
    </row>
    <row r="147" customFormat="false" ht="15" hidden="false" customHeight="false" outlineLevel="0" collapsed="false">
      <c r="B147" s="9" t="s">
        <v>126</v>
      </c>
      <c r="D147" s="10" t="n">
        <v>36</v>
      </c>
    </row>
    <row r="148" customFormat="false" ht="15" hidden="false" customHeight="false" outlineLevel="0" collapsed="false">
      <c r="B148" s="9" t="s">
        <v>127</v>
      </c>
      <c r="D148" s="10" t="n">
        <v>50</v>
      </c>
    </row>
    <row r="149" customFormat="false" ht="15" hidden="false" customHeight="false" outlineLevel="0" collapsed="false">
      <c r="B149" s="9" t="s">
        <v>128</v>
      </c>
      <c r="D149" s="12" t="n">
        <v>54.5</v>
      </c>
    </row>
    <row r="151" customFormat="false" ht="15" hidden="false" customHeight="false" outlineLevel="0" collapsed="false">
      <c r="B151" s="18" t="s">
        <v>129</v>
      </c>
      <c r="C151" s="19"/>
      <c r="D151" s="19"/>
    </row>
    <row r="152" customFormat="false" ht="15" hidden="false" customHeight="false" outlineLevel="0" collapsed="false">
      <c r="B152" s="9" t="s">
        <v>130</v>
      </c>
      <c r="D152" s="11" t="n">
        <v>0.235</v>
      </c>
    </row>
    <row r="153" customFormat="false" ht="15" hidden="false" customHeight="false" outlineLevel="0" collapsed="false">
      <c r="B153" s="9" t="s">
        <v>131</v>
      </c>
      <c r="D153" s="11" t="n">
        <v>0.23</v>
      </c>
    </row>
    <row r="154" customFormat="false" ht="15" hidden="false" customHeight="false" outlineLevel="0" collapsed="false">
      <c r="B154" s="9" t="s">
        <v>132</v>
      </c>
      <c r="D154" s="11" t="n">
        <v>0.24</v>
      </c>
    </row>
    <row r="155" customFormat="false" ht="15" hidden="false" customHeight="false" outlineLevel="0" collapsed="false">
      <c r="B155" s="9" t="s">
        <v>133</v>
      </c>
      <c r="D155" s="11" t="n">
        <v>-0.012</v>
      </c>
    </row>
    <row r="156" customFormat="false" ht="15" hidden="false" customHeight="false" outlineLevel="0" collapsed="false">
      <c r="B156" s="9" t="s">
        <v>134</v>
      </c>
      <c r="D156" s="11" t="n">
        <v>-0.01</v>
      </c>
    </row>
    <row r="157" customFormat="false" ht="15" hidden="false" customHeight="false" outlineLevel="0" collapsed="false">
      <c r="B157" s="9" t="s">
        <v>135</v>
      </c>
      <c r="D157" s="11" t="n">
        <v>-0.004</v>
      </c>
    </row>
    <row r="158" customFormat="false" ht="15" hidden="false" customHeight="false" outlineLevel="0" collapsed="false">
      <c r="B158" s="9" t="s">
        <v>136</v>
      </c>
      <c r="D158" s="22" t="n">
        <v>0.25</v>
      </c>
    </row>
    <row r="159" customFormat="false" ht="15" hidden="false" customHeight="false" outlineLevel="0" collapsed="false">
      <c r="B159" s="9" t="s">
        <v>137</v>
      </c>
      <c r="D159" s="22" t="n">
        <v>0.25</v>
      </c>
    </row>
    <row r="160" customFormat="false" ht="15" hidden="false" customHeight="false" outlineLevel="0" collapsed="false">
      <c r="B160" s="9" t="s">
        <v>138</v>
      </c>
      <c r="D160" s="22" t="n">
        <v>0.25</v>
      </c>
    </row>
    <row r="161" customFormat="false" ht="15" hidden="false" customHeight="false" outlineLevel="0" collapsed="false">
      <c r="B161" s="9" t="s">
        <v>139</v>
      </c>
      <c r="C161" s="20" t="s">
        <v>78</v>
      </c>
      <c r="D161" s="10" t="n">
        <v>4</v>
      </c>
    </row>
    <row r="162" customFormat="false" ht="15" hidden="false" customHeight="false" outlineLevel="0" collapsed="false">
      <c r="B162" s="9" t="s">
        <v>140</v>
      </c>
      <c r="D162" s="12" t="n">
        <v>55.3</v>
      </c>
    </row>
    <row r="164" customFormat="false" ht="15" hidden="false" customHeight="false" outlineLevel="0" collapsed="false">
      <c r="B164" s="18" t="s">
        <v>141</v>
      </c>
      <c r="C164" s="19"/>
      <c r="D164" s="19"/>
    </row>
    <row r="165" customFormat="false" ht="15" hidden="false" customHeight="false" outlineLevel="0" collapsed="false">
      <c r="B165" s="9" t="s">
        <v>142</v>
      </c>
      <c r="D165" s="10" t="n">
        <v>266</v>
      </c>
    </row>
    <row r="166" customFormat="false" ht="15" hidden="false" customHeight="false" outlineLevel="0" collapsed="false">
      <c r="B166" s="9" t="s">
        <v>143</v>
      </c>
      <c r="D166" s="10" t="n">
        <v>165</v>
      </c>
    </row>
    <row r="167" customFormat="false" ht="15" hidden="false" customHeight="false" outlineLevel="0" collapsed="false">
      <c r="B167" s="9" t="s">
        <v>144</v>
      </c>
      <c r="D167" s="10" t="n">
        <v>112.4</v>
      </c>
    </row>
    <row r="168" customFormat="false" ht="15" hidden="false" customHeight="false" outlineLevel="0" collapsed="false">
      <c r="B168" s="9" t="s">
        <v>145</v>
      </c>
      <c r="D168" s="11" t="n">
        <v>0.114</v>
      </c>
    </row>
    <row r="169" customFormat="false" ht="15" hidden="false" customHeight="false" outlineLevel="0" collapsed="false">
      <c r="B169" s="9" t="s">
        <v>146</v>
      </c>
      <c r="D169" s="11" t="n">
        <v>0.221</v>
      </c>
    </row>
    <row r="170" customFormat="false" ht="15" hidden="false" customHeight="false" outlineLevel="0" collapsed="false">
      <c r="B170" s="9" t="s">
        <v>147</v>
      </c>
      <c r="D170" s="11" t="n">
        <v>0.241</v>
      </c>
    </row>
    <row r="171" customFormat="false" ht="15" hidden="false" customHeight="false" outlineLevel="0" collapsed="false">
      <c r="B171" s="9" t="s">
        <v>148</v>
      </c>
      <c r="D171" s="10" t="n">
        <v>12.6</v>
      </c>
    </row>
    <row r="172" customFormat="false" ht="15" hidden="false" customHeight="false" outlineLevel="0" collapsed="false">
      <c r="B172" s="9" t="s">
        <v>149</v>
      </c>
      <c r="D172" s="10" t="n">
        <v>9.5</v>
      </c>
    </row>
    <row r="173" customFormat="false" ht="15" hidden="false" customHeight="false" outlineLevel="0" collapsed="false">
      <c r="B173" s="9" t="s">
        <v>150</v>
      </c>
      <c r="D173" s="10" t="n">
        <v>5.1</v>
      </c>
    </row>
    <row r="174" customFormat="false" ht="15" hidden="false" customHeight="false" outlineLevel="0" collapsed="false">
      <c r="B174" s="9" t="s">
        <v>151</v>
      </c>
      <c r="D174" s="10" t="n">
        <v>13.6</v>
      </c>
    </row>
    <row r="175" customFormat="false" ht="15" hidden="false" customHeight="false" outlineLevel="0" collapsed="false">
      <c r="B175" s="9" t="s">
        <v>152</v>
      </c>
      <c r="D175" s="24" t="n">
        <v>55.25</v>
      </c>
    </row>
    <row r="176" customFormat="false" ht="15" hidden="false" customHeight="false" outlineLevel="0" collapsed="false">
      <c r="B176" s="9" t="s">
        <v>153</v>
      </c>
      <c r="D176" s="11" t="n">
        <v>0.23</v>
      </c>
    </row>
    <row r="177" customFormat="false" ht="15" hidden="false" customHeight="false" outlineLevel="0" collapsed="false">
      <c r="B177" s="9" t="s">
        <v>154</v>
      </c>
      <c r="C177" s="20" t="s">
        <v>61</v>
      </c>
      <c r="D177" s="13" t="n">
        <v>0.92</v>
      </c>
    </row>
    <row r="178" customFormat="false" ht="15" hidden="false" customHeight="false" outlineLevel="0" collapsed="false">
      <c r="B178" s="9" t="s">
        <v>155</v>
      </c>
      <c r="C178" s="20" t="s">
        <v>78</v>
      </c>
      <c r="D178" s="10" t="n">
        <v>541</v>
      </c>
    </row>
    <row r="179" customFormat="false" ht="15" hidden="false" customHeight="false" outlineLevel="0" collapsed="false">
      <c r="B179" s="9" t="s">
        <v>156</v>
      </c>
      <c r="D179" s="10" t="n">
        <v>263.2</v>
      </c>
    </row>
    <row r="180" customFormat="false" ht="15" hidden="false" customHeight="false" outlineLevel="0" collapsed="false">
      <c r="B180" s="9" t="s">
        <v>157</v>
      </c>
      <c r="D180" s="10" t="n">
        <v>147.2</v>
      </c>
    </row>
    <row r="181" customFormat="false" ht="15" hidden="false" customHeight="false" outlineLevel="0" collapsed="false">
      <c r="B181" s="9" t="s">
        <v>158</v>
      </c>
      <c r="D181" s="10" t="n">
        <v>105.6</v>
      </c>
    </row>
    <row r="182" customFormat="false" ht="15" hidden="false" customHeight="false" outlineLevel="0" collapsed="false">
      <c r="B182" s="9" t="s">
        <v>159</v>
      </c>
      <c r="D182" s="13" t="n">
        <v>0.85</v>
      </c>
    </row>
    <row r="183" customFormat="false" ht="15" hidden="false" customHeight="false" outlineLevel="0" collapsed="false">
      <c r="B183" s="9" t="s">
        <v>160</v>
      </c>
      <c r="D183" s="11" t="n">
        <v>0.025</v>
      </c>
    </row>
    <row r="184" customFormat="false" ht="15" hidden="false" customHeight="false" outlineLevel="0" collapsed="false">
      <c r="B184" s="9" t="s">
        <v>161</v>
      </c>
      <c r="C184" s="20" t="s">
        <v>61</v>
      </c>
      <c r="D184" s="13" t="n">
        <v>4.25</v>
      </c>
    </row>
    <row r="185" customFormat="false" ht="15" hidden="false" customHeight="false" outlineLevel="0" collapsed="false">
      <c r="B185" s="9" t="s">
        <v>162</v>
      </c>
      <c r="C185" s="20" t="s">
        <v>61</v>
      </c>
      <c r="D185" s="13" t="n">
        <v>4.45</v>
      </c>
    </row>
    <row r="186" customFormat="false" ht="15" hidden="false" customHeight="false" outlineLevel="0" collapsed="false">
      <c r="B186" s="9" t="s">
        <v>163</v>
      </c>
      <c r="C186" s="20" t="s">
        <v>61</v>
      </c>
      <c r="D186" s="13" t="n">
        <v>4.35</v>
      </c>
    </row>
    <row r="187" customFormat="false" ht="15" hidden="false" customHeight="false" outlineLevel="0" collapsed="false">
      <c r="B187" s="9" t="s">
        <v>164</v>
      </c>
      <c r="C187" s="20" t="s">
        <v>61</v>
      </c>
      <c r="D187" s="13" t="n">
        <v>4.55</v>
      </c>
    </row>
    <row r="188" customFormat="false" ht="15" hidden="false" customHeight="false" outlineLevel="0" collapsed="false">
      <c r="B188" s="9" t="s">
        <v>165</v>
      </c>
      <c r="D188" s="11" t="n">
        <v>0.112</v>
      </c>
    </row>
    <row r="189" customFormat="false" ht="15" hidden="false" customHeight="false" outlineLevel="0" collapsed="false">
      <c r="B189" s="9" t="s">
        <v>166</v>
      </c>
      <c r="D189" s="24" t="n">
        <v>1.08</v>
      </c>
    </row>
    <row r="190" customFormat="false" ht="15" hidden="false" customHeight="false" outlineLevel="0" collapsed="false">
      <c r="B190" s="9" t="s">
        <v>167</v>
      </c>
      <c r="C190" s="20" t="s">
        <v>61</v>
      </c>
      <c r="D190" s="13" t="n">
        <v>88.3</v>
      </c>
    </row>
    <row r="191" customFormat="false" ht="15" hidden="false" customHeight="false" outlineLevel="0" collapsed="false">
      <c r="B191" s="9" t="s">
        <v>168</v>
      </c>
      <c r="C191" s="20" t="s">
        <v>61</v>
      </c>
      <c r="D191" s="13" t="n">
        <v>93.25</v>
      </c>
    </row>
    <row r="192" customFormat="false" ht="15" hidden="false" customHeight="false" outlineLevel="0" collapsed="false">
      <c r="B192" s="9" t="s">
        <v>169</v>
      </c>
      <c r="D192" s="11" t="n">
        <v>0.004</v>
      </c>
    </row>
    <row r="194" customFormat="false" ht="15" hidden="false" customHeight="false" outlineLevel="0" collapsed="false">
      <c r="B194" s="7" t="s">
        <v>170</v>
      </c>
      <c r="C194" s="8" t="s">
        <v>171</v>
      </c>
      <c r="D194" s="8" t="s">
        <v>172</v>
      </c>
      <c r="E194" s="8" t="s">
        <v>173</v>
      </c>
      <c r="F194" s="8" t="s">
        <v>174</v>
      </c>
      <c r="G194" s="8" t="s">
        <v>175</v>
      </c>
    </row>
    <row r="195" customFormat="false" ht="15" hidden="false" customHeight="false" outlineLevel="0" collapsed="false">
      <c r="B195" s="9" t="s">
        <v>176</v>
      </c>
      <c r="C195" s="25" t="s">
        <v>177</v>
      </c>
      <c r="D195" s="13" t="n">
        <v>42.1</v>
      </c>
      <c r="E195" s="13" t="n">
        <v>49.8</v>
      </c>
      <c r="F195" s="13" t="n">
        <v>0.9</v>
      </c>
      <c r="G195" s="11" t="n">
        <v>0.062</v>
      </c>
    </row>
    <row r="196" customFormat="false" ht="15" hidden="false" customHeight="false" outlineLevel="0" collapsed="false">
      <c r="B196" s="9" t="s">
        <v>178</v>
      </c>
      <c r="C196" s="25" t="s">
        <v>177</v>
      </c>
      <c r="D196" s="13" t="n">
        <v>118</v>
      </c>
      <c r="E196" s="13" t="n">
        <v>112.4</v>
      </c>
      <c r="F196" s="13" t="n">
        <v>2.1</v>
      </c>
      <c r="G196" s="11" t="n">
        <v>0.062</v>
      </c>
    </row>
    <row r="197" customFormat="false" ht="15" hidden="false" customHeight="false" outlineLevel="0" collapsed="false">
      <c r="B197" s="9" t="s">
        <v>179</v>
      </c>
      <c r="C197" s="25" t="s">
        <v>180</v>
      </c>
      <c r="D197" s="13" t="n">
        <v>65.5</v>
      </c>
      <c r="E197" s="13" t="n">
        <v>68.2</v>
      </c>
      <c r="F197" s="13" t="n">
        <v>1.4</v>
      </c>
      <c r="G197" s="11" t="n">
        <v>0.062</v>
      </c>
    </row>
    <row r="198" customFormat="false" ht="15" hidden="false" customHeight="false" outlineLevel="0" collapsed="false">
      <c r="B198" s="9" t="s">
        <v>181</v>
      </c>
      <c r="C198" s="25" t="s">
        <v>177</v>
      </c>
      <c r="D198" s="13" t="n">
        <v>23.75</v>
      </c>
      <c r="E198" s="13" t="n">
        <v>29.1</v>
      </c>
      <c r="F198" s="13" t="n">
        <v>0</v>
      </c>
      <c r="G198" s="11" t="n">
        <v>0.041</v>
      </c>
    </row>
    <row r="199" customFormat="false" ht="15" hidden="false" customHeight="false" outlineLevel="0" collapsed="false">
      <c r="B199" s="9" t="s">
        <v>182</v>
      </c>
      <c r="C199" s="25" t="s">
        <v>183</v>
      </c>
      <c r="D199" s="13" t="n">
        <v>57.2</v>
      </c>
      <c r="E199" s="13" t="n">
        <v>51.9</v>
      </c>
      <c r="F199" s="13" t="n">
        <v>1.6</v>
      </c>
      <c r="G199" s="11" t="n">
        <v>0.041</v>
      </c>
    </row>
    <row r="200" customFormat="false" ht="15" hidden="false" customHeight="false" outlineLevel="0" collapsed="false">
      <c r="B200" s="9" t="s">
        <v>184</v>
      </c>
      <c r="C200" s="25" t="s">
        <v>180</v>
      </c>
      <c r="D200" s="13" t="n">
        <v>81</v>
      </c>
      <c r="E200" s="13" t="n">
        <v>90.5</v>
      </c>
      <c r="F200" s="13" t="n">
        <v>1.8</v>
      </c>
      <c r="G200" s="11" t="n">
        <v>0.041</v>
      </c>
    </row>
    <row r="201" customFormat="false" ht="15" hidden="false" customHeight="false" outlineLevel="0" collapsed="false">
      <c r="B201" s="9" t="s">
        <v>185</v>
      </c>
      <c r="C201" s="25" t="s">
        <v>177</v>
      </c>
      <c r="D201" s="13" t="n">
        <v>36.4</v>
      </c>
      <c r="E201" s="13" t="n">
        <v>38.1</v>
      </c>
      <c r="F201" s="13" t="n">
        <v>0.7</v>
      </c>
      <c r="G201" s="11" t="n">
        <v>0.118</v>
      </c>
    </row>
    <row r="202" customFormat="false" ht="15" hidden="false" customHeight="false" outlineLevel="0" collapsed="false">
      <c r="B202" s="9" t="s">
        <v>186</v>
      </c>
      <c r="C202" s="25" t="s">
        <v>183</v>
      </c>
      <c r="D202" s="13" t="n">
        <v>94.3</v>
      </c>
      <c r="E202" s="13" t="n">
        <v>99.7</v>
      </c>
      <c r="F202" s="13" t="n">
        <v>2</v>
      </c>
      <c r="G202" s="11" t="n">
        <v>0.118</v>
      </c>
    </row>
    <row r="203" customFormat="false" ht="15" hidden="false" customHeight="false" outlineLevel="0" collapsed="false">
      <c r="B203" s="9" t="s">
        <v>187</v>
      </c>
      <c r="C203" s="25" t="s">
        <v>177</v>
      </c>
      <c r="D203" s="13" t="n">
        <v>71.6</v>
      </c>
      <c r="E203" s="13" t="n">
        <v>84.9</v>
      </c>
      <c r="F203" s="13" t="n">
        <v>1.2</v>
      </c>
      <c r="G203" s="11" t="n">
        <v>0.118</v>
      </c>
    </row>
    <row r="204" customFormat="false" ht="15" hidden="false" customHeight="false" outlineLevel="0" collapsed="false">
      <c r="B204" s="9" t="s">
        <v>188</v>
      </c>
      <c r="C204" s="25" t="s">
        <v>180</v>
      </c>
      <c r="D204" s="13" t="n">
        <v>48.9</v>
      </c>
      <c r="E204" s="13" t="n">
        <v>47.1</v>
      </c>
      <c r="F204" s="13" t="n">
        <v>1.1</v>
      </c>
      <c r="G204" s="11" t="n">
        <v>-0.035</v>
      </c>
    </row>
    <row r="205" customFormat="false" ht="15" hidden="false" customHeight="false" outlineLevel="0" collapsed="false">
      <c r="B205" s="9" t="s">
        <v>189</v>
      </c>
      <c r="C205" s="25" t="s">
        <v>177</v>
      </c>
      <c r="D205" s="13" t="n">
        <v>15.2</v>
      </c>
      <c r="E205" s="13" t="n">
        <v>13.1</v>
      </c>
      <c r="F205" s="13" t="n">
        <v>0</v>
      </c>
      <c r="G205" s="11" t="n">
        <v>-0.035</v>
      </c>
    </row>
    <row r="206" customFormat="false" ht="15" hidden="false" customHeight="false" outlineLevel="0" collapsed="false">
      <c r="B206" s="9" t="s">
        <v>190</v>
      </c>
      <c r="C206" s="25" t="s">
        <v>177</v>
      </c>
      <c r="D206" s="13" t="n">
        <v>102.5</v>
      </c>
      <c r="E206" s="13" t="n">
        <v>101.3</v>
      </c>
      <c r="F206" s="13" t="n">
        <v>2.6</v>
      </c>
      <c r="G206" s="11" t="n">
        <v>-0.035</v>
      </c>
    </row>
    <row r="207" customFormat="false" ht="15" hidden="false" customHeight="false" outlineLevel="0" collapsed="false">
      <c r="B207" s="9" t="s">
        <v>191</v>
      </c>
      <c r="D207" s="22" t="n">
        <v>0.05</v>
      </c>
    </row>
    <row r="209" customFormat="false" ht="15" hidden="false" customHeight="false" outlineLevel="0" collapsed="false">
      <c r="B209" s="18" t="s">
        <v>192</v>
      </c>
      <c r="C209" s="19"/>
      <c r="D209" s="19"/>
    </row>
    <row r="210" customFormat="false" ht="15" hidden="false" customHeight="false" outlineLevel="0" collapsed="false">
      <c r="B210" s="9" t="s">
        <v>193</v>
      </c>
      <c r="D210" s="23" t="n">
        <v>7</v>
      </c>
    </row>
    <row r="211" customFormat="false" ht="15" hidden="false" customHeight="false" outlineLevel="0" collapsed="false">
      <c r="B211" s="9" t="s">
        <v>194</v>
      </c>
      <c r="D211" s="23" t="n">
        <v>2</v>
      </c>
    </row>
    <row r="212" customFormat="false" ht="15" hidden="false" customHeight="false" outlineLevel="0" collapsed="false">
      <c r="B212" s="9" t="s">
        <v>195</v>
      </c>
      <c r="D212" s="23" t="n">
        <v>6</v>
      </c>
    </row>
    <row r="213" customFormat="false" ht="15" hidden="false" customHeight="false" outlineLevel="0" collapsed="false">
      <c r="B213" s="9" t="s">
        <v>196</v>
      </c>
      <c r="D213" s="23" t="n">
        <v>1</v>
      </c>
    </row>
    <row r="214" customFormat="false" ht="15" hidden="false" customHeight="false" outlineLevel="0" collapsed="false">
      <c r="B214" s="9" t="s">
        <v>197</v>
      </c>
      <c r="D214" s="23" t="n">
        <v>1</v>
      </c>
    </row>
    <row r="215" customFormat="false" ht="15" hidden="false" customHeight="false" outlineLevel="0" collapsed="false">
      <c r="B215" s="9" t="s">
        <v>198</v>
      </c>
      <c r="D215" s="23" t="n">
        <v>0</v>
      </c>
    </row>
    <row r="217" customFormat="false" ht="15" hidden="false" customHeight="false" outlineLevel="0" collapsed="false">
      <c r="B217" s="18" t="s">
        <v>199</v>
      </c>
      <c r="C217" s="19"/>
      <c r="D217" s="19"/>
    </row>
    <row r="218" customFormat="false" ht="15" hidden="false" customHeight="false" outlineLevel="0" collapsed="false">
      <c r="B218" s="9" t="s">
        <v>200</v>
      </c>
      <c r="D218" s="11" t="n">
        <v>0.005</v>
      </c>
    </row>
    <row r="219" customFormat="false" ht="15" hidden="false" customHeight="false" outlineLevel="0" collapsed="false">
      <c r="B219" s="9" t="s">
        <v>201</v>
      </c>
      <c r="D219" s="22" t="n">
        <v>0.04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I8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558593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8"/>
    <col collapsed="false" customWidth="true" hidden="false" outlineLevel="0" max="3" min="3" style="0" width="6"/>
    <col collapsed="false" customWidth="true" hidden="false" outlineLevel="0" max="9" min="4" style="0" width="12"/>
  </cols>
  <sheetData>
    <row r="1" customFormat="false" ht="6" hidden="false" customHeight="true" outlineLevel="0" collapsed="false"/>
    <row r="2" customFormat="false" ht="17.35" hidden="false" customHeight="false" outlineLevel="0" collapsed="false">
      <c r="B2" s="5" t="s">
        <v>202</v>
      </c>
    </row>
    <row r="3" customFormat="false" ht="15" hidden="false" customHeight="false" outlineLevel="0" collapsed="false">
      <c r="B3" s="6" t="s">
        <v>203</v>
      </c>
    </row>
    <row r="4" customFormat="false" ht="15" hidden="false" customHeight="false" outlineLevel="0" collapsed="false">
      <c r="B4" s="7" t="s">
        <v>204</v>
      </c>
      <c r="C4" s="8"/>
      <c r="D4" s="8" t="s">
        <v>23</v>
      </c>
      <c r="E4" s="8" t="s">
        <v>24</v>
      </c>
      <c r="F4" s="8" t="s">
        <v>25</v>
      </c>
      <c r="G4" s="8" t="s">
        <v>26</v>
      </c>
      <c r="H4" s="8" t="s">
        <v>27</v>
      </c>
      <c r="I4" s="8" t="s">
        <v>28</v>
      </c>
    </row>
    <row r="5" customFormat="false" ht="15" hidden="false" customHeight="false" outlineLevel="0" collapsed="false">
      <c r="B5" s="18" t="s">
        <v>205</v>
      </c>
      <c r="C5" s="19"/>
      <c r="D5" s="19"/>
      <c r="E5" s="19"/>
      <c r="F5" s="19"/>
      <c r="G5" s="19"/>
      <c r="H5" s="19"/>
      <c r="I5" s="19"/>
    </row>
    <row r="6" customFormat="false" ht="15" hidden="false" customHeight="false" outlineLevel="0" collapsed="false">
      <c r="B6" s="9" t="s">
        <v>32</v>
      </c>
      <c r="C6" s="20" t="s">
        <v>206</v>
      </c>
      <c r="D6" s="14" t="n">
        <f aca="false">(1+D8)/(1+D7)-1</f>
        <v>0.0103708741165327</v>
      </c>
      <c r="E6" s="14" t="n">
        <f aca="false">(1+E8)/(1+E7)-1</f>
        <v>0.0128827483196416</v>
      </c>
      <c r="F6" s="14" t="n">
        <f aca="false">(1+F8)/(1+F7)-1</f>
        <v>0.00708103855232101</v>
      </c>
      <c r="G6" s="14" t="n">
        <f aca="false">Inputs!$G$8</f>
        <v>0.01</v>
      </c>
      <c r="H6" s="14" t="n">
        <f aca="false">Inputs!$H$8</f>
        <v>0.02</v>
      </c>
      <c r="I6" s="14" t="n">
        <f aca="false">Inputs!$I$8</f>
        <v>0.025</v>
      </c>
    </row>
    <row r="7" customFormat="false" ht="15" hidden="false" customHeight="false" outlineLevel="0" collapsed="false">
      <c r="B7" s="9" t="s">
        <v>35</v>
      </c>
      <c r="C7" s="20" t="s">
        <v>206</v>
      </c>
      <c r="D7" s="14" t="n">
        <f aca="false">Inputs!$D$11</f>
        <v>0.045</v>
      </c>
      <c r="E7" s="14" t="n">
        <f aca="false">Inputs!$E$11</f>
        <v>0.03</v>
      </c>
      <c r="F7" s="14" t="n">
        <f aca="false">Inputs!$F$11</f>
        <v>0.025</v>
      </c>
      <c r="G7" s="14" t="n">
        <f aca="false">Inputs!$G$11</f>
        <v>0.025</v>
      </c>
      <c r="H7" s="14" t="n">
        <f aca="false">Inputs!$H$11</f>
        <v>0.02</v>
      </c>
      <c r="I7" s="14" t="n">
        <f aca="false">Inputs!$I$11</f>
        <v>0.02</v>
      </c>
    </row>
    <row r="8" customFormat="false" ht="15" hidden="false" customHeight="false" outlineLevel="0" collapsed="false">
      <c r="B8" s="9" t="s">
        <v>207</v>
      </c>
      <c r="C8" s="20" t="s">
        <v>206</v>
      </c>
      <c r="D8" s="14" t="n">
        <f aca="false">D9/Inputs!$C$5-1</f>
        <v>0.0558375634517767</v>
      </c>
      <c r="E8" s="14" t="n">
        <f aca="false">E9/D9-1</f>
        <v>0.0432692307692308</v>
      </c>
      <c r="F8" s="14" t="n">
        <f aca="false">F9/E9-1</f>
        <v>0.032258064516129</v>
      </c>
      <c r="G8" s="14" t="n">
        <f aca="false">(1+G6)*(1+G7)-1</f>
        <v>0.03525</v>
      </c>
      <c r="H8" s="14" t="n">
        <f aca="false">(1+H6)*(1+H7)-1</f>
        <v>0.0404</v>
      </c>
      <c r="I8" s="14" t="n">
        <f aca="false">(1+I6)*(1+I7)-1</f>
        <v>0.0454999999999999</v>
      </c>
    </row>
    <row r="9" customFormat="false" ht="15" hidden="false" customHeight="false" outlineLevel="0" collapsed="false">
      <c r="B9" s="9" t="s">
        <v>208</v>
      </c>
      <c r="C9" s="20" t="s">
        <v>78</v>
      </c>
      <c r="D9" s="15" t="n">
        <f aca="false">Inputs!$D$5</f>
        <v>1040</v>
      </c>
      <c r="E9" s="15" t="n">
        <f aca="false">Inputs!$E$5</f>
        <v>1085</v>
      </c>
      <c r="F9" s="15" t="n">
        <f aca="false">Inputs!$F$5</f>
        <v>1120</v>
      </c>
      <c r="G9" s="15" t="n">
        <f aca="false">F9*(1+G8)</f>
        <v>1159.48</v>
      </c>
      <c r="H9" s="15" t="n">
        <f aca="false">G9*(1+H8)</f>
        <v>1206.322992</v>
      </c>
      <c r="I9" s="15" t="n">
        <f aca="false">H9*(1+I8)</f>
        <v>1261.210688136</v>
      </c>
    </row>
    <row r="10" customFormat="false" ht="15" hidden="false" customHeight="false" outlineLevel="0" collapsed="false">
      <c r="B10" s="9" t="s">
        <v>33</v>
      </c>
      <c r="C10" s="20" t="s">
        <v>206</v>
      </c>
      <c r="D10" s="14" t="n">
        <f aca="false">(1+D12)/(1+D11)-1</f>
        <v>0.0661409719987125</v>
      </c>
      <c r="E10" s="14" t="n">
        <f aca="false">(1+E12)/(1+E11)-1</f>
        <v>0.0716248397142334</v>
      </c>
      <c r="F10" s="14" t="n">
        <f aca="false">(1+F12)/(1+F11)-1</f>
        <v>0.0673337502605798</v>
      </c>
      <c r="G10" s="14" t="n">
        <f aca="false">Inputs!$G$9</f>
        <v>0.06</v>
      </c>
      <c r="H10" s="14" t="n">
        <f aca="false">Inputs!$H$9</f>
        <v>0.065</v>
      </c>
      <c r="I10" s="14" t="n">
        <f aca="false">Inputs!$I$9</f>
        <v>0.06</v>
      </c>
    </row>
    <row r="11" customFormat="false" ht="15" hidden="false" customHeight="false" outlineLevel="0" collapsed="false">
      <c r="B11" s="9" t="s">
        <v>36</v>
      </c>
      <c r="C11" s="20" t="s">
        <v>206</v>
      </c>
      <c r="D11" s="14" t="n">
        <f aca="false">Inputs!$D$12</f>
        <v>0.04</v>
      </c>
      <c r="E11" s="14" t="n">
        <f aca="false">Inputs!$E$12</f>
        <v>0.03</v>
      </c>
      <c r="F11" s="14" t="n">
        <f aca="false">Inputs!$F$12</f>
        <v>0.025</v>
      </c>
      <c r="G11" s="14" t="n">
        <f aca="false">Inputs!$G$12</f>
        <v>0.025</v>
      </c>
      <c r="H11" s="14" t="n">
        <f aca="false">Inputs!$H$12</f>
        <v>0.025</v>
      </c>
      <c r="I11" s="14" t="n">
        <f aca="false">Inputs!$I$12</f>
        <v>0.02</v>
      </c>
    </row>
    <row r="12" customFormat="false" ht="15" hidden="false" customHeight="false" outlineLevel="0" collapsed="false">
      <c r="B12" s="9" t="s">
        <v>209</v>
      </c>
      <c r="C12" s="20" t="s">
        <v>206</v>
      </c>
      <c r="D12" s="14" t="n">
        <f aca="false">D13/Inputs!$C$6-1</f>
        <v>0.108786610878661</v>
      </c>
      <c r="E12" s="14" t="n">
        <f aca="false">E13/D13-1</f>
        <v>0.10377358490566</v>
      </c>
      <c r="F12" s="14" t="n">
        <f aca="false">F13/E13-1</f>
        <v>0.0940170940170941</v>
      </c>
      <c r="G12" s="14" t="n">
        <f aca="false">(1+G10)*(1+G11)-1</f>
        <v>0.0865</v>
      </c>
      <c r="H12" s="14" t="n">
        <f aca="false">(1+H10)*(1+H11)-1</f>
        <v>0.0916249999999999</v>
      </c>
      <c r="I12" s="14" t="n">
        <f aca="false">(1+I10)*(1+I11)-1</f>
        <v>0.0812000000000002</v>
      </c>
    </row>
    <row r="13" customFormat="false" ht="15" hidden="false" customHeight="false" outlineLevel="0" collapsed="false">
      <c r="B13" s="9" t="s">
        <v>210</v>
      </c>
      <c r="C13" s="20" t="s">
        <v>78</v>
      </c>
      <c r="D13" s="15" t="n">
        <f aca="false">Inputs!$D$6</f>
        <v>530</v>
      </c>
      <c r="E13" s="15" t="n">
        <f aca="false">Inputs!$E$6</f>
        <v>585</v>
      </c>
      <c r="F13" s="15" t="n">
        <f aca="false">Inputs!$F$6</f>
        <v>640</v>
      </c>
      <c r="G13" s="15" t="n">
        <f aca="false">F13*(1+G12)</f>
        <v>695.36</v>
      </c>
      <c r="H13" s="15" t="n">
        <f aca="false">G13*(1+H12)</f>
        <v>759.07236</v>
      </c>
      <c r="I13" s="15" t="n">
        <f aca="false">H13*(1+I12)</f>
        <v>820.709035632</v>
      </c>
    </row>
    <row r="14" customFormat="false" ht="15" hidden="false" customHeight="false" outlineLevel="0" collapsed="false">
      <c r="B14" s="9" t="s">
        <v>34</v>
      </c>
      <c r="C14" s="20" t="s">
        <v>206</v>
      </c>
      <c r="D14" s="14" t="n">
        <f aca="false">(1+D16)/(1+D15)-1</f>
        <v>0.0281385281385282</v>
      </c>
      <c r="E14" s="14" t="n">
        <f aca="false">(1+E16)/(1+E15)-1</f>
        <v>0.0424612255275871</v>
      </c>
      <c r="F14" s="14" t="n">
        <f aca="false">(1+F16)/(1+F15)-1</f>
        <v>0.0419133317546767</v>
      </c>
      <c r="G14" s="14" t="n">
        <f aca="false">Inputs!$G$10</f>
        <v>0.04</v>
      </c>
      <c r="H14" s="14" t="n">
        <f aca="false">Inputs!$H$10</f>
        <v>0.045</v>
      </c>
      <c r="I14" s="14" t="n">
        <f aca="false">Inputs!$I$10</f>
        <v>0.045</v>
      </c>
    </row>
    <row r="15" customFormat="false" ht="15" hidden="false" customHeight="false" outlineLevel="0" collapsed="false">
      <c r="B15" s="9" t="s">
        <v>37</v>
      </c>
      <c r="C15" s="20" t="s">
        <v>206</v>
      </c>
      <c r="D15" s="14" t="n">
        <f aca="false">Inputs!$D$13</f>
        <v>0.05</v>
      </c>
      <c r="E15" s="14" t="n">
        <f aca="false">Inputs!$E$13</f>
        <v>0.035</v>
      </c>
      <c r="F15" s="14" t="n">
        <f aca="false">Inputs!$F$13</f>
        <v>0.03</v>
      </c>
      <c r="G15" s="14" t="n">
        <f aca="false">Inputs!$G$13</f>
        <v>0.03</v>
      </c>
      <c r="H15" s="14" t="n">
        <f aca="false">Inputs!$H$13</f>
        <v>0.03</v>
      </c>
      <c r="I15" s="14" t="n">
        <f aca="false">Inputs!$I$13</f>
        <v>0.03</v>
      </c>
    </row>
    <row r="16" customFormat="false" ht="15" hidden="false" customHeight="false" outlineLevel="0" collapsed="false">
      <c r="B16" s="9" t="s">
        <v>211</v>
      </c>
      <c r="C16" s="20" t="s">
        <v>206</v>
      </c>
      <c r="D16" s="14" t="n">
        <f aca="false">D17/Inputs!$C$7-1</f>
        <v>0.0795454545454546</v>
      </c>
      <c r="E16" s="14" t="n">
        <f aca="false">E17/D17-1</f>
        <v>0.0789473684210527</v>
      </c>
      <c r="F16" s="14" t="n">
        <f aca="false">F17/E17-1</f>
        <v>0.0731707317073171</v>
      </c>
      <c r="G16" s="14" t="n">
        <f aca="false">(1+G14)*(1+G15)-1</f>
        <v>0.0712000000000002</v>
      </c>
      <c r="H16" s="14" t="n">
        <f aca="false">(1+H14)*(1+H15)-1</f>
        <v>0.0763499999999999</v>
      </c>
      <c r="I16" s="14" t="n">
        <f aca="false">(1+I14)*(1+I15)-1</f>
        <v>0.0763499999999999</v>
      </c>
    </row>
    <row r="17" customFormat="false" ht="15" hidden="false" customHeight="false" outlineLevel="0" collapsed="false">
      <c r="B17" s="9" t="s">
        <v>212</v>
      </c>
      <c r="C17" s="20" t="s">
        <v>78</v>
      </c>
      <c r="D17" s="15" t="n">
        <f aca="false">Inputs!$D$7</f>
        <v>380</v>
      </c>
      <c r="E17" s="15" t="n">
        <f aca="false">Inputs!$E$7</f>
        <v>410</v>
      </c>
      <c r="F17" s="15" t="n">
        <f aca="false">Inputs!$F$7</f>
        <v>440</v>
      </c>
      <c r="G17" s="15" t="n">
        <f aca="false">F17*(1+G16)</f>
        <v>471.328</v>
      </c>
      <c r="H17" s="15" t="n">
        <f aca="false">G17*(1+H16)</f>
        <v>507.3138928</v>
      </c>
      <c r="I17" s="15" t="n">
        <f aca="false">H17*(1+I16)</f>
        <v>546.04730851528</v>
      </c>
    </row>
    <row r="18" customFormat="false" ht="15" hidden="false" customHeight="false" outlineLevel="0" collapsed="false">
      <c r="B18" s="26" t="s">
        <v>213</v>
      </c>
      <c r="C18" s="20" t="s">
        <v>78</v>
      </c>
      <c r="D18" s="27" t="n">
        <f aca="false">D9+D13+D17</f>
        <v>1950</v>
      </c>
      <c r="E18" s="27" t="n">
        <f aca="false">E9+E13+E17</f>
        <v>2080</v>
      </c>
      <c r="F18" s="27" t="n">
        <f aca="false">F9+F13+F17</f>
        <v>2200</v>
      </c>
      <c r="G18" s="27" t="n">
        <f aca="false">G9+G13+G17</f>
        <v>2326.168</v>
      </c>
      <c r="H18" s="27" t="n">
        <f aca="false">H9+H13+H17</f>
        <v>2472.7092448</v>
      </c>
      <c r="I18" s="27" t="n">
        <f aca="false">I9+I13+I17</f>
        <v>2627.96703228328</v>
      </c>
    </row>
    <row r="19" customFormat="false" ht="15" hidden="false" customHeight="false" outlineLevel="0" collapsed="false">
      <c r="B19" s="9" t="s">
        <v>214</v>
      </c>
      <c r="C19" s="20" t="s">
        <v>206</v>
      </c>
      <c r="D19" s="14" t="n">
        <f aca="false">D18/(Inputs!$C$5+Inputs!$C$6+Inputs!$C$7)-1</f>
        <v>0.0743801652892562</v>
      </c>
      <c r="E19" s="14" t="n">
        <f aca="false">E18/D18-1</f>
        <v>0.0666666666666667</v>
      </c>
      <c r="F19" s="14" t="n">
        <f aca="false">F18/E18-1</f>
        <v>0.0576923076923077</v>
      </c>
      <c r="G19" s="14" t="n">
        <f aca="false">G18/F18-1</f>
        <v>0.057349090909091</v>
      </c>
      <c r="H19" s="14" t="n">
        <f aca="false">H18/G18-1</f>
        <v>0.0629968449398324</v>
      </c>
      <c r="I19" s="14" t="n">
        <f aca="false">I18/H18-1</f>
        <v>0.062788533593175</v>
      </c>
    </row>
    <row r="20" customFormat="false" ht="15" hidden="false" customHeight="false" outlineLevel="0" collapsed="false">
      <c r="B20" s="18" t="s">
        <v>215</v>
      </c>
      <c r="C20" s="19"/>
      <c r="D20" s="19"/>
      <c r="E20" s="19"/>
      <c r="F20" s="19"/>
      <c r="G20" s="19"/>
      <c r="H20" s="19"/>
      <c r="I20" s="19"/>
    </row>
    <row r="21" customFormat="false" ht="15" hidden="false" customHeight="false" outlineLevel="0" collapsed="false">
      <c r="B21" s="9" t="s">
        <v>38</v>
      </c>
      <c r="C21" s="20" t="s">
        <v>206</v>
      </c>
      <c r="D21" s="14" t="n">
        <f aca="false">Inputs!$D$14</f>
        <v>0.121</v>
      </c>
      <c r="E21" s="14" t="n">
        <f aca="false">Inputs!$E$14</f>
        <v>0.126</v>
      </c>
      <c r="F21" s="14" t="n">
        <f aca="false">Inputs!$F$14</f>
        <v>0.13</v>
      </c>
      <c r="G21" s="14" t="n">
        <f aca="false">Inputs!$G$14</f>
        <v>0.132</v>
      </c>
      <c r="H21" s="14" t="n">
        <f aca="false">Inputs!$H$14</f>
        <v>0.136</v>
      </c>
      <c r="I21" s="14" t="n">
        <f aca="false">Inputs!$I$14</f>
        <v>0.14</v>
      </c>
    </row>
    <row r="22" customFormat="false" ht="15" hidden="false" customHeight="false" outlineLevel="0" collapsed="false">
      <c r="B22" s="9" t="s">
        <v>216</v>
      </c>
      <c r="C22" s="20" t="s">
        <v>78</v>
      </c>
      <c r="D22" s="15" t="n">
        <f aca="false">D9*D21</f>
        <v>125.84</v>
      </c>
      <c r="E22" s="15" t="n">
        <f aca="false">E9*E21</f>
        <v>136.71</v>
      </c>
      <c r="F22" s="15" t="n">
        <f aca="false">F9*F21</f>
        <v>145.6</v>
      </c>
      <c r="G22" s="15" t="n">
        <f aca="false">G9*G21</f>
        <v>153.05136</v>
      </c>
      <c r="H22" s="15" t="n">
        <f aca="false">H9*H21</f>
        <v>164.059926912</v>
      </c>
      <c r="I22" s="15" t="n">
        <f aca="false">I9*I21</f>
        <v>176.56949633904</v>
      </c>
    </row>
    <row r="23" customFormat="false" ht="15" hidden="false" customHeight="false" outlineLevel="0" collapsed="false">
      <c r="B23" s="9" t="s">
        <v>39</v>
      </c>
      <c r="C23" s="20" t="s">
        <v>206</v>
      </c>
      <c r="D23" s="14" t="n">
        <f aca="false">Inputs!$D$15</f>
        <v>0.195</v>
      </c>
      <c r="E23" s="14" t="n">
        <f aca="false">Inputs!$E$15</f>
        <v>0.203</v>
      </c>
      <c r="F23" s="14" t="n">
        <f aca="false">Inputs!$F$15</f>
        <v>0.21</v>
      </c>
      <c r="G23" s="14" t="n">
        <f aca="false">Inputs!$G$15</f>
        <v>0.218</v>
      </c>
      <c r="H23" s="14" t="n">
        <f aca="false">Inputs!$H$15</f>
        <v>0.225</v>
      </c>
      <c r="I23" s="14" t="n">
        <f aca="false">Inputs!$I$15</f>
        <v>0.23</v>
      </c>
    </row>
    <row r="24" customFormat="false" ht="15" hidden="false" customHeight="false" outlineLevel="0" collapsed="false">
      <c r="B24" s="9" t="s">
        <v>217</v>
      </c>
      <c r="C24" s="20" t="s">
        <v>78</v>
      </c>
      <c r="D24" s="15" t="n">
        <f aca="false">D13*D23</f>
        <v>103.35</v>
      </c>
      <c r="E24" s="15" t="n">
        <f aca="false">E13*E23</f>
        <v>118.755</v>
      </c>
      <c r="F24" s="15" t="n">
        <f aca="false">F13*F23</f>
        <v>134.4</v>
      </c>
      <c r="G24" s="15" t="n">
        <f aca="false">G13*G23</f>
        <v>151.58848</v>
      </c>
      <c r="H24" s="15" t="n">
        <f aca="false">H13*H23</f>
        <v>170.791281</v>
      </c>
      <c r="I24" s="15" t="n">
        <f aca="false">I13*I23</f>
        <v>188.76307819536</v>
      </c>
    </row>
    <row r="25" customFormat="false" ht="15" hidden="false" customHeight="false" outlineLevel="0" collapsed="false">
      <c r="B25" s="9" t="s">
        <v>40</v>
      </c>
      <c r="C25" s="20" t="s">
        <v>206</v>
      </c>
      <c r="D25" s="14" t="n">
        <f aca="false">Inputs!$D$16</f>
        <v>0.23</v>
      </c>
      <c r="E25" s="14" t="n">
        <f aca="false">Inputs!$E$16</f>
        <v>0.235</v>
      </c>
      <c r="F25" s="14" t="n">
        <f aca="false">Inputs!$F$16</f>
        <v>0.24</v>
      </c>
      <c r="G25" s="14" t="n">
        <f aca="false">Inputs!$G$16</f>
        <v>0.243</v>
      </c>
      <c r="H25" s="14" t="n">
        <f aca="false">Inputs!$H$16</f>
        <v>0.246</v>
      </c>
      <c r="I25" s="14" t="n">
        <f aca="false">Inputs!$I$16</f>
        <v>0.248</v>
      </c>
    </row>
    <row r="26" customFormat="false" ht="15" hidden="false" customHeight="false" outlineLevel="0" collapsed="false">
      <c r="B26" s="9" t="s">
        <v>218</v>
      </c>
      <c r="C26" s="20" t="s">
        <v>78</v>
      </c>
      <c r="D26" s="15" t="n">
        <f aca="false">D17*D25</f>
        <v>87.4</v>
      </c>
      <c r="E26" s="15" t="n">
        <f aca="false">E17*E25</f>
        <v>96.35</v>
      </c>
      <c r="F26" s="15" t="n">
        <f aca="false">F17*F25</f>
        <v>105.6</v>
      </c>
      <c r="G26" s="15" t="n">
        <f aca="false">G17*G25</f>
        <v>114.532704</v>
      </c>
      <c r="H26" s="15" t="n">
        <f aca="false">H17*H25</f>
        <v>124.7992176288</v>
      </c>
      <c r="I26" s="15" t="n">
        <f aca="false">I17*I25</f>
        <v>135.419732511789</v>
      </c>
    </row>
    <row r="27" customFormat="false" ht="15" hidden="false" customHeight="false" outlineLevel="0" collapsed="false">
      <c r="B27" s="9" t="s">
        <v>219</v>
      </c>
      <c r="C27" s="20" t="s">
        <v>78</v>
      </c>
      <c r="D27" s="15" t="n">
        <f aca="false">D22+D24+D26</f>
        <v>316.59</v>
      </c>
      <c r="E27" s="15" t="n">
        <f aca="false">E22+E24+E26</f>
        <v>351.815</v>
      </c>
      <c r="F27" s="15" t="n">
        <f aca="false">F22+F24+F26</f>
        <v>385.6</v>
      </c>
      <c r="G27" s="15" t="n">
        <f aca="false">G22+G24+G26</f>
        <v>419.172544</v>
      </c>
      <c r="H27" s="15" t="n">
        <f aca="false">H22+H24+H26</f>
        <v>459.6504255408</v>
      </c>
      <c r="I27" s="15" t="n">
        <f aca="false">I22+I24+I26</f>
        <v>500.752307046189</v>
      </c>
    </row>
    <row r="28" customFormat="false" ht="15" hidden="false" customHeight="false" outlineLevel="0" collapsed="false">
      <c r="B28" s="9" t="s">
        <v>41</v>
      </c>
      <c r="C28" s="20" t="s">
        <v>78</v>
      </c>
      <c r="D28" s="15" t="n">
        <f aca="false">Inputs!$D$17</f>
        <v>44</v>
      </c>
      <c r="E28" s="15" t="n">
        <f aca="false">Inputs!$E$17</f>
        <v>46</v>
      </c>
      <c r="F28" s="15" t="n">
        <f aca="false">Inputs!$F$17</f>
        <v>48</v>
      </c>
      <c r="G28" s="15" t="n">
        <f aca="false">Inputs!$G$17</f>
        <v>50</v>
      </c>
      <c r="H28" s="15" t="n">
        <f aca="false">Inputs!$H$17</f>
        <v>52</v>
      </c>
      <c r="I28" s="15" t="n">
        <f aca="false">Inputs!$I$17</f>
        <v>54</v>
      </c>
    </row>
    <row r="29" customFormat="false" ht="15" hidden="false" customHeight="false" outlineLevel="0" collapsed="false">
      <c r="B29" s="26" t="s">
        <v>220</v>
      </c>
      <c r="C29" s="20" t="s">
        <v>78</v>
      </c>
      <c r="D29" s="27" t="n">
        <f aca="false">D27-D28</f>
        <v>272.59</v>
      </c>
      <c r="E29" s="27" t="n">
        <f aca="false">E27-E28</f>
        <v>305.815</v>
      </c>
      <c r="F29" s="27" t="n">
        <f aca="false">F27-F28</f>
        <v>337.6</v>
      </c>
      <c r="G29" s="27" t="n">
        <f aca="false">G27-G28</f>
        <v>369.172544</v>
      </c>
      <c r="H29" s="27" t="n">
        <f aca="false">H27-H28</f>
        <v>407.6504255408</v>
      </c>
      <c r="I29" s="27" t="n">
        <f aca="false">I27-I28</f>
        <v>446.752307046189</v>
      </c>
    </row>
    <row r="30" customFormat="false" ht="15" hidden="false" customHeight="false" outlineLevel="0" collapsed="false">
      <c r="B30" s="9" t="s">
        <v>221</v>
      </c>
      <c r="C30" s="20" t="s">
        <v>206</v>
      </c>
      <c r="D30" s="14" t="n">
        <f aca="false">D29/D18</f>
        <v>0.139789743589744</v>
      </c>
      <c r="E30" s="14" t="n">
        <f aca="false">E29/E18</f>
        <v>0.147026442307692</v>
      </c>
      <c r="F30" s="14" t="n">
        <f aca="false">F29/F18</f>
        <v>0.153454545454545</v>
      </c>
      <c r="G30" s="14" t="n">
        <f aca="false">G29/G18</f>
        <v>0.158704162382081</v>
      </c>
      <c r="H30" s="14" t="n">
        <f aca="false">H29/H18</f>
        <v>0.164859829920591</v>
      </c>
      <c r="I30" s="14" t="n">
        <f aca="false">I29/I18</f>
        <v>0.169999205301306</v>
      </c>
    </row>
    <row r="31" customFormat="false" ht="15" hidden="false" customHeight="false" outlineLevel="0" collapsed="false">
      <c r="B31" s="9" t="s">
        <v>222</v>
      </c>
      <c r="C31" s="20" t="s">
        <v>78</v>
      </c>
      <c r="D31" s="15" t="n">
        <f aca="false">D18*Inputs!$D$80</f>
        <v>54.6</v>
      </c>
      <c r="E31" s="15" t="n">
        <f aca="false">E18*Inputs!$D$80</f>
        <v>58.24</v>
      </c>
      <c r="F31" s="15" t="n">
        <f aca="false">F18*Inputs!$D$80</f>
        <v>61.6</v>
      </c>
      <c r="G31" s="15" t="n">
        <f aca="false">G18*Inputs!$D$80</f>
        <v>65.132704</v>
      </c>
      <c r="H31" s="15" t="n">
        <f aca="false">H18*Inputs!$D$80</f>
        <v>69.2358588544</v>
      </c>
      <c r="I31" s="15" t="n">
        <f aca="false">I18*Inputs!$D$80</f>
        <v>73.5830769039318</v>
      </c>
    </row>
    <row r="32" customFormat="false" ht="15" hidden="false" customHeight="false" outlineLevel="0" collapsed="false">
      <c r="B32" s="9" t="s">
        <v>223</v>
      </c>
      <c r="C32" s="20" t="s">
        <v>78</v>
      </c>
      <c r="D32" s="15" t="n">
        <f aca="false">D29+D31</f>
        <v>327.19</v>
      </c>
      <c r="E32" s="15" t="n">
        <f aca="false">E29+E31</f>
        <v>364.055</v>
      </c>
      <c r="F32" s="15" t="n">
        <f aca="false">F29+F31</f>
        <v>399.2</v>
      </c>
      <c r="G32" s="15" t="n">
        <f aca="false">G29+G31</f>
        <v>434.305248</v>
      </c>
      <c r="H32" s="15" t="n">
        <f aca="false">H29+H31</f>
        <v>476.8862843952</v>
      </c>
      <c r="I32" s="15" t="n">
        <f aca="false">I29+I31</f>
        <v>520.335383950121</v>
      </c>
    </row>
    <row r="33" customFormat="false" ht="15" hidden="false" customHeight="false" outlineLevel="0" collapsed="false">
      <c r="B33" s="9" t="s">
        <v>42</v>
      </c>
      <c r="C33" s="20" t="s">
        <v>78</v>
      </c>
      <c r="D33" s="15" t="n">
        <f aca="false">Inputs!$D$18</f>
        <v>38</v>
      </c>
      <c r="E33" s="15" t="n">
        <f aca="false">Inputs!$E$18</f>
        <v>38</v>
      </c>
      <c r="F33" s="15" t="n">
        <f aca="false">Inputs!$F$18</f>
        <v>38</v>
      </c>
      <c r="G33" s="15" t="n">
        <f aca="false">Inputs!$G$18</f>
        <v>38</v>
      </c>
      <c r="H33" s="15" t="n">
        <f aca="false">Inputs!$H$18</f>
        <v>36</v>
      </c>
      <c r="I33" s="15" t="n">
        <f aca="false">Inputs!$I$18</f>
        <v>34</v>
      </c>
    </row>
    <row r="34" customFormat="false" ht="15" hidden="false" customHeight="false" outlineLevel="0" collapsed="false">
      <c r="B34" s="9" t="s">
        <v>43</v>
      </c>
      <c r="C34" s="20" t="s">
        <v>78</v>
      </c>
      <c r="D34" s="15" t="n">
        <f aca="false">Inputs!$D$19</f>
        <v>0</v>
      </c>
      <c r="E34" s="15" t="n">
        <f aca="false">Inputs!$E$19</f>
        <v>15</v>
      </c>
      <c r="F34" s="15" t="n">
        <f aca="false">Inputs!$F$19</f>
        <v>22</v>
      </c>
      <c r="G34" s="15" t="n">
        <f aca="false">Inputs!$G$19</f>
        <v>12</v>
      </c>
      <c r="H34" s="15" t="n">
        <f aca="false">Inputs!$H$19</f>
        <v>0</v>
      </c>
      <c r="I34" s="15" t="n">
        <f aca="false">Inputs!$I$19</f>
        <v>0</v>
      </c>
    </row>
    <row r="35" customFormat="false" ht="15" hidden="false" customHeight="false" outlineLevel="0" collapsed="false">
      <c r="B35" s="9" t="s">
        <v>224</v>
      </c>
      <c r="C35" s="20" t="s">
        <v>78</v>
      </c>
      <c r="D35" s="15" t="n">
        <f aca="false">D29-D33-D34</f>
        <v>234.59</v>
      </c>
      <c r="E35" s="15" t="n">
        <f aca="false">E29-E33-E34</f>
        <v>252.815</v>
      </c>
      <c r="F35" s="15" t="n">
        <f aca="false">F29-F33-F34</f>
        <v>277.6</v>
      </c>
      <c r="G35" s="15" t="n">
        <f aca="false">G29-G33-G34</f>
        <v>319.172544</v>
      </c>
      <c r="H35" s="15" t="n">
        <f aca="false">H29-H33-H34</f>
        <v>371.6504255408</v>
      </c>
      <c r="I35" s="15" t="n">
        <f aca="false">I29-I33-I34</f>
        <v>412.752307046189</v>
      </c>
    </row>
    <row r="36" customFormat="false" ht="15" hidden="false" customHeight="false" outlineLevel="0" collapsed="false">
      <c r="B36" s="18" t="s">
        <v>225</v>
      </c>
      <c r="C36" s="19"/>
      <c r="D36" s="19"/>
      <c r="E36" s="19"/>
      <c r="F36" s="19"/>
      <c r="G36" s="19"/>
      <c r="H36" s="19"/>
      <c r="I36" s="19"/>
    </row>
    <row r="37" customFormat="false" ht="15" hidden="false" customHeight="false" outlineLevel="0" collapsed="false">
      <c r="B37" s="9" t="s">
        <v>226</v>
      </c>
      <c r="C37" s="20" t="s">
        <v>78</v>
      </c>
      <c r="D37" s="15" t="n">
        <f aca="false">Inputs!$D$20</f>
        <v>58</v>
      </c>
      <c r="E37" s="15" t="n">
        <f aca="false">Inputs!$E$20</f>
        <v>55</v>
      </c>
      <c r="F37" s="15" t="n">
        <f aca="false">Inputs!$F$20</f>
        <v>52</v>
      </c>
      <c r="G37" s="15" t="n">
        <f aca="false">F60*Inputs!$D$83</f>
        <v>55</v>
      </c>
      <c r="H37" s="15" t="n">
        <f aca="false">G60*Inputs!$D$83</f>
        <v>50.305102656</v>
      </c>
      <c r="I37" s="15" t="n">
        <f aca="false">H60*Inputs!$D$83</f>
        <v>43.9607207770952</v>
      </c>
    </row>
    <row r="38" customFormat="false" ht="15" hidden="false" customHeight="false" outlineLevel="0" collapsed="false">
      <c r="B38" s="9" t="s">
        <v>227</v>
      </c>
      <c r="C38" s="20" t="s">
        <v>78</v>
      </c>
      <c r="D38" s="15" t="n">
        <f aca="false">D35-D37</f>
        <v>176.59</v>
      </c>
      <c r="E38" s="15" t="n">
        <f aca="false">E35-E37</f>
        <v>197.815</v>
      </c>
      <c r="F38" s="15" t="n">
        <f aca="false">F35-F37</f>
        <v>225.6</v>
      </c>
      <c r="G38" s="15" t="n">
        <f aca="false">G35-G37</f>
        <v>264.172544</v>
      </c>
      <c r="H38" s="15" t="n">
        <f aca="false">H35-H37</f>
        <v>321.3453228848</v>
      </c>
      <c r="I38" s="15" t="n">
        <f aca="false">I35-I37</f>
        <v>368.791586269094</v>
      </c>
    </row>
    <row r="39" customFormat="false" ht="15" hidden="false" customHeight="false" outlineLevel="0" collapsed="false">
      <c r="B39" s="9" t="s">
        <v>228</v>
      </c>
      <c r="C39" s="20" t="s">
        <v>78</v>
      </c>
      <c r="D39" s="15" t="n">
        <f aca="false">D38*Inputs!$D$79</f>
        <v>40.6157</v>
      </c>
      <c r="E39" s="15" t="n">
        <f aca="false">E38*Inputs!$D$79</f>
        <v>45.49745</v>
      </c>
      <c r="F39" s="15" t="n">
        <f aca="false">F38*Inputs!$D$79</f>
        <v>51.888</v>
      </c>
      <c r="G39" s="15" t="n">
        <f aca="false">G38*Inputs!$D$79</f>
        <v>60.75968512</v>
      </c>
      <c r="H39" s="15" t="n">
        <f aca="false">H38*Inputs!$D$79</f>
        <v>73.909424263504</v>
      </c>
      <c r="I39" s="15" t="n">
        <f aca="false">I38*Inputs!$D$79</f>
        <v>84.8220648418917</v>
      </c>
    </row>
    <row r="40" customFormat="false" ht="15" hidden="false" customHeight="false" outlineLevel="0" collapsed="false">
      <c r="B40" s="9" t="s">
        <v>229</v>
      </c>
      <c r="C40" s="20" t="s">
        <v>78</v>
      </c>
      <c r="D40" s="15" t="n">
        <f aca="false">D38-D39</f>
        <v>135.9743</v>
      </c>
      <c r="E40" s="15" t="n">
        <f aca="false">E38-E39</f>
        <v>152.31755</v>
      </c>
      <c r="F40" s="15" t="n">
        <f aca="false">F38-F39</f>
        <v>173.712</v>
      </c>
      <c r="G40" s="15" t="n">
        <f aca="false">G38-G39</f>
        <v>203.41285888</v>
      </c>
      <c r="H40" s="15" t="n">
        <f aca="false">H38-H39</f>
        <v>247.435898621296</v>
      </c>
      <c r="I40" s="15" t="n">
        <f aca="false">I38-I39</f>
        <v>283.969521427203</v>
      </c>
    </row>
    <row r="41" customFormat="false" ht="15" hidden="false" customHeight="false" outlineLevel="0" collapsed="false">
      <c r="B41" s="9" t="s">
        <v>230</v>
      </c>
      <c r="C41" s="20" t="s">
        <v>231</v>
      </c>
      <c r="D41" s="16" t="n">
        <f aca="false">Inputs!$D$21</f>
        <v>57</v>
      </c>
      <c r="E41" s="16" t="n">
        <f aca="false">Inputs!$E$21</f>
        <v>56.3</v>
      </c>
      <c r="F41" s="16" t="n">
        <f aca="false">Inputs!$F$21</f>
        <v>55.6</v>
      </c>
      <c r="G41" s="16" t="n">
        <f aca="false">Inputs!$G$21</f>
        <v>55</v>
      </c>
      <c r="H41" s="16" t="n">
        <f aca="false">Inputs!$H$21</f>
        <v>54.4</v>
      </c>
      <c r="I41" s="16" t="n">
        <f aca="false">Inputs!$I$21</f>
        <v>53.8</v>
      </c>
    </row>
    <row r="42" customFormat="false" ht="15" hidden="false" customHeight="false" outlineLevel="0" collapsed="false">
      <c r="B42" s="26" t="s">
        <v>232</v>
      </c>
      <c r="C42" s="20" t="s">
        <v>61</v>
      </c>
      <c r="D42" s="28" t="n">
        <f aca="false">D40/D41</f>
        <v>2.38551403508772</v>
      </c>
      <c r="E42" s="28" t="n">
        <f aca="false">E40/E41</f>
        <v>2.70546269982238</v>
      </c>
      <c r="F42" s="28" t="n">
        <f aca="false">F40/F41</f>
        <v>3.12431654676259</v>
      </c>
      <c r="G42" s="28" t="n">
        <f aca="false">G40/G41</f>
        <v>3.698415616</v>
      </c>
      <c r="H42" s="28" t="n">
        <f aca="false">H40/H41</f>
        <v>4.54845401877382</v>
      </c>
      <c r="I42" s="28" t="n">
        <f aca="false">I40/I41</f>
        <v>5.27824389269893</v>
      </c>
    </row>
    <row r="43" customFormat="false" ht="15" hidden="false" customHeight="false" outlineLevel="0" collapsed="false">
      <c r="B43" s="18" t="s">
        <v>233</v>
      </c>
      <c r="C43" s="19"/>
      <c r="D43" s="19"/>
      <c r="E43" s="19"/>
      <c r="F43" s="19"/>
      <c r="G43" s="19"/>
      <c r="H43" s="19"/>
      <c r="I43" s="19"/>
    </row>
    <row r="44" customFormat="false" ht="15" hidden="false" customHeight="false" outlineLevel="0" collapsed="false">
      <c r="B44" s="9" t="s">
        <v>234</v>
      </c>
      <c r="C44" s="20" t="s">
        <v>61</v>
      </c>
      <c r="D44" s="17" t="n">
        <f aca="false">D33*(1-Inputs!$D$79)/D41</f>
        <v>0.513333333333333</v>
      </c>
      <c r="E44" s="17" t="n">
        <f aca="false">E33*(1-Inputs!$D$79)/E41</f>
        <v>0.519715808170515</v>
      </c>
      <c r="F44" s="17" t="n">
        <f aca="false">F33*(1-Inputs!$D$79)/F41</f>
        <v>0.526258992805755</v>
      </c>
      <c r="G44" s="17" t="n">
        <f aca="false">G33*(1-Inputs!$D$79)/G41</f>
        <v>0.532</v>
      </c>
      <c r="H44" s="17" t="n">
        <f aca="false">H33*(1-Inputs!$D$79)/H41</f>
        <v>0.509558823529412</v>
      </c>
      <c r="I44" s="17" t="n">
        <f aca="false">I33*(1-Inputs!$D$79)/I41</f>
        <v>0.486617100371747</v>
      </c>
    </row>
    <row r="45" customFormat="false" ht="15" hidden="false" customHeight="false" outlineLevel="0" collapsed="false">
      <c r="B45" s="9" t="s">
        <v>235</v>
      </c>
      <c r="C45" s="20" t="s">
        <v>61</v>
      </c>
      <c r="D45" s="17" t="n">
        <f aca="false">D34*(1-Inputs!$D$79)/D41</f>
        <v>0</v>
      </c>
      <c r="E45" s="17" t="n">
        <f aca="false">E34*(1-Inputs!$D$79)/E41</f>
        <v>0.205150976909414</v>
      </c>
      <c r="F45" s="17" t="n">
        <f aca="false">F34*(1-Inputs!$D$79)/F41</f>
        <v>0.304676258992806</v>
      </c>
      <c r="G45" s="17" t="n">
        <f aca="false">G34*(1-Inputs!$D$79)/G41</f>
        <v>0.168</v>
      </c>
      <c r="H45" s="17" t="n">
        <f aca="false">H34*(1-Inputs!$D$79)/H41</f>
        <v>0</v>
      </c>
      <c r="I45" s="17" t="n">
        <f aca="false">I34*(1-Inputs!$D$79)/I41</f>
        <v>0</v>
      </c>
    </row>
    <row r="46" customFormat="false" ht="15" hidden="false" customHeight="false" outlineLevel="0" collapsed="false">
      <c r="B46" s="9" t="s">
        <v>236</v>
      </c>
      <c r="C46" s="20" t="s">
        <v>78</v>
      </c>
      <c r="D46" s="15" t="n">
        <f aca="false">(D33+D34)*(1-Inputs!$D$79)</f>
        <v>29.26</v>
      </c>
      <c r="E46" s="15" t="n">
        <f aca="false">(E33+E34)*(1-Inputs!$D$79)</f>
        <v>40.81</v>
      </c>
      <c r="F46" s="15" t="n">
        <f aca="false">(F33+F34)*(1-Inputs!$D$79)</f>
        <v>46.2</v>
      </c>
      <c r="G46" s="15" t="n">
        <f aca="false">(G33+G34)*(1-Inputs!$D$79)</f>
        <v>38.5</v>
      </c>
      <c r="H46" s="15" t="n">
        <f aca="false">(H33+H34)*(1-Inputs!$D$79)</f>
        <v>27.72</v>
      </c>
      <c r="I46" s="15" t="n">
        <f aca="false">(I33+I34)*(1-Inputs!$D$79)</f>
        <v>26.18</v>
      </c>
    </row>
    <row r="47" customFormat="false" ht="15" hidden="false" customHeight="false" outlineLevel="0" collapsed="false">
      <c r="B47" s="9" t="s">
        <v>237</v>
      </c>
      <c r="C47" s="20" t="s">
        <v>78</v>
      </c>
      <c r="D47" s="15" t="n">
        <f aca="false">D40+D46</f>
        <v>165.2343</v>
      </c>
      <c r="E47" s="15" t="n">
        <f aca="false">E40+E46</f>
        <v>193.12755</v>
      </c>
      <c r="F47" s="15" t="n">
        <f aca="false">F40+F46</f>
        <v>219.912</v>
      </c>
      <c r="G47" s="15" t="n">
        <f aca="false">G40+G46</f>
        <v>241.91285888</v>
      </c>
      <c r="H47" s="15" t="n">
        <f aca="false">H40+H46</f>
        <v>275.155898621296</v>
      </c>
      <c r="I47" s="15" t="n">
        <f aca="false">I40+I46</f>
        <v>310.149521427203</v>
      </c>
    </row>
    <row r="48" customFormat="false" ht="15" hidden="false" customHeight="false" outlineLevel="0" collapsed="false">
      <c r="B48" s="26" t="s">
        <v>238</v>
      </c>
      <c r="C48" s="20" t="s">
        <v>61</v>
      </c>
      <c r="D48" s="28" t="n">
        <f aca="false">D47/D41</f>
        <v>2.89884736842105</v>
      </c>
      <c r="E48" s="28" t="n">
        <f aca="false">E47/E41</f>
        <v>3.43032948490231</v>
      </c>
      <c r="F48" s="28" t="n">
        <f aca="false">F47/F41</f>
        <v>3.95525179856115</v>
      </c>
      <c r="G48" s="28" t="n">
        <f aca="false">G47/G41</f>
        <v>4.398415616</v>
      </c>
      <c r="H48" s="28" t="n">
        <f aca="false">H47/H41</f>
        <v>5.05801284230324</v>
      </c>
      <c r="I48" s="28" t="n">
        <f aca="false">I47/I41</f>
        <v>5.76486099307068</v>
      </c>
    </row>
    <row r="49" customFormat="false" ht="15" hidden="false" customHeight="false" outlineLevel="0" collapsed="false">
      <c r="B49" s="9" t="s">
        <v>239</v>
      </c>
      <c r="C49" s="20" t="s">
        <v>206</v>
      </c>
      <c r="D49" s="9"/>
      <c r="E49" s="14" t="n">
        <f aca="false">E48/D48-1</f>
        <v>0.183342566521791</v>
      </c>
      <c r="F49" s="14" t="n">
        <f aca="false">F48/E48-1</f>
        <v>0.153023875977264</v>
      </c>
      <c r="G49" s="14" t="n">
        <f aca="false">G48/F48-1</f>
        <v>0.112044400713013</v>
      </c>
      <c r="H49" s="14" t="n">
        <f aca="false">H48/G48-1</f>
        <v>0.14996246009673</v>
      </c>
      <c r="I49" s="14" t="n">
        <f aca="false">I48/H48-1</f>
        <v>0.139748192186395</v>
      </c>
    </row>
    <row r="50" customFormat="false" ht="15" hidden="false" customHeight="false" outlineLevel="0" collapsed="false">
      <c r="B50" s="9" t="s">
        <v>240</v>
      </c>
      <c r="C50" s="20" t="s">
        <v>206</v>
      </c>
      <c r="D50" s="14" t="n">
        <f aca="false">D48/D42-1</f>
        <v>0.215187722974121</v>
      </c>
      <c r="E50" s="14" t="n">
        <f aca="false">E48/E42-1</f>
        <v>0.267927103606906</v>
      </c>
      <c r="F50" s="14" t="n">
        <f aca="false">F48/F42-1</f>
        <v>0.265957446808511</v>
      </c>
      <c r="G50" s="14" t="n">
        <f aca="false">G48/G42-1</f>
        <v>0.189270236955435</v>
      </c>
      <c r="H50" s="14" t="n">
        <f aca="false">H48/H42-1</f>
        <v>0.112029015007341</v>
      </c>
      <c r="I50" s="14" t="n">
        <f aca="false">I48/I42-1</f>
        <v>0.0921929926437948</v>
      </c>
    </row>
    <row r="51" customFormat="false" ht="15" hidden="false" customHeight="false" outlineLevel="0" collapsed="false">
      <c r="B51" s="18" t="s">
        <v>241</v>
      </c>
      <c r="C51" s="19"/>
      <c r="D51" s="19"/>
      <c r="E51" s="19"/>
      <c r="F51" s="19"/>
      <c r="G51" s="19"/>
      <c r="H51" s="19"/>
      <c r="I51" s="19"/>
    </row>
    <row r="52" customFormat="false" ht="15" hidden="false" customHeight="false" outlineLevel="0" collapsed="false">
      <c r="B52" s="9" t="s">
        <v>242</v>
      </c>
      <c r="C52" s="20" t="s">
        <v>78</v>
      </c>
      <c r="D52" s="15" t="n">
        <f aca="false">D18*Inputs!$D$81</f>
        <v>62.4</v>
      </c>
      <c r="E52" s="15" t="n">
        <f aca="false">E18*Inputs!$D$81</f>
        <v>66.56</v>
      </c>
      <c r="F52" s="15" t="n">
        <f aca="false">F18*Inputs!$D$81</f>
        <v>70.4</v>
      </c>
      <c r="G52" s="15" t="n">
        <f aca="false">G18*Inputs!$D$81</f>
        <v>74.437376</v>
      </c>
      <c r="H52" s="15" t="n">
        <f aca="false">H18*Inputs!$D$81</f>
        <v>79.1266958336</v>
      </c>
      <c r="I52" s="15" t="n">
        <f aca="false">I18*Inputs!$D$81</f>
        <v>84.094945033065</v>
      </c>
    </row>
    <row r="53" customFormat="false" ht="15" hidden="false" customHeight="false" outlineLevel="0" collapsed="false">
      <c r="B53" s="9" t="s">
        <v>243</v>
      </c>
      <c r="C53" s="20" t="s">
        <v>78</v>
      </c>
      <c r="D53" s="15" t="n">
        <f aca="false">(D18-(Inputs!$C$5+Inputs!$C$6+Inputs!$C$7))*Inputs!$D$82</f>
        <v>24.3</v>
      </c>
      <c r="E53" s="15" t="n">
        <f aca="false">(E18-D18)*Inputs!$D$82</f>
        <v>23.4</v>
      </c>
      <c r="F53" s="15" t="n">
        <f aca="false">(F18-E18)*Inputs!$D$82</f>
        <v>21.6</v>
      </c>
      <c r="G53" s="15" t="n">
        <f aca="false">(G18-F18)*Inputs!$D$82</f>
        <v>22.71024</v>
      </c>
      <c r="H53" s="15" t="n">
        <f aca="false">(H18-G18)*Inputs!$D$82</f>
        <v>26.377424064</v>
      </c>
      <c r="I53" s="15" t="n">
        <f aca="false">(I18-H18)*Inputs!$D$82</f>
        <v>27.9464017469903</v>
      </c>
    </row>
    <row r="54" customFormat="false" ht="15" hidden="false" customHeight="false" outlineLevel="0" collapsed="false">
      <c r="B54" s="26" t="s">
        <v>244</v>
      </c>
      <c r="C54" s="20" t="s">
        <v>78</v>
      </c>
      <c r="D54" s="27" t="n">
        <f aca="false">D40+D31+D33-D52-D53</f>
        <v>141.8743</v>
      </c>
      <c r="E54" s="27" t="n">
        <f aca="false">E40+E31+E33-E52-E53</f>
        <v>158.59755</v>
      </c>
      <c r="F54" s="27" t="n">
        <f aca="false">F40+F31+F33-F52-F53</f>
        <v>181.312</v>
      </c>
      <c r="G54" s="27" t="n">
        <f aca="false">G40+G31+G33-G52-G53</f>
        <v>209.39794688</v>
      </c>
      <c r="H54" s="27" t="n">
        <f aca="false">H40+H31+H33-H52-H53</f>
        <v>247.167637578096</v>
      </c>
      <c r="I54" s="27" t="n">
        <f aca="false">I40+I31+I33-I52-I53</f>
        <v>279.511251551079</v>
      </c>
    </row>
    <row r="55" customFormat="false" ht="15" hidden="false" customHeight="false" outlineLevel="0" collapsed="false">
      <c r="B55" s="9" t="s">
        <v>245</v>
      </c>
      <c r="C55" s="20" t="s">
        <v>206</v>
      </c>
      <c r="D55" s="29" t="n">
        <f aca="false">D54/D47</f>
        <v>0.85862499493144</v>
      </c>
      <c r="E55" s="29" t="n">
        <f aca="false">E54/E47</f>
        <v>0.821206244267066</v>
      </c>
      <c r="F55" s="29" t="n">
        <f aca="false">F54/F47</f>
        <v>0.824475244643312</v>
      </c>
      <c r="G55" s="29" t="n">
        <f aca="false">G54/G47</f>
        <v>0.865592461060001</v>
      </c>
      <c r="H55" s="29" t="n">
        <f aca="false">H54/H47</f>
        <v>0.898282169550285</v>
      </c>
      <c r="I55" s="29" t="n">
        <f aca="false">I54/I47</f>
        <v>0.901214518290609</v>
      </c>
    </row>
    <row r="56" customFormat="false" ht="15" hidden="false" customHeight="false" outlineLevel="0" collapsed="false">
      <c r="B56" s="9" t="s">
        <v>246</v>
      </c>
      <c r="C56" s="20" t="s">
        <v>61</v>
      </c>
      <c r="D56" s="17" t="n">
        <f aca="false">D54/D41</f>
        <v>2.48902280701754</v>
      </c>
      <c r="E56" s="17" t="n">
        <f aca="false">E54/E41</f>
        <v>2.81700799289521</v>
      </c>
      <c r="F56" s="17" t="n">
        <f aca="false">F54/F41</f>
        <v>3.2610071942446</v>
      </c>
      <c r="G56" s="17" t="n">
        <f aca="false">G54/G41</f>
        <v>3.80723539781818</v>
      </c>
      <c r="H56" s="17" t="n">
        <f aca="false">H54/H41</f>
        <v>4.54352274959735</v>
      </c>
      <c r="I56" s="17" t="n">
        <f aca="false">I54/I41</f>
        <v>5.19537642288251</v>
      </c>
    </row>
    <row r="57" customFormat="false" ht="15" hidden="false" customHeight="false" outlineLevel="0" collapsed="false">
      <c r="B57" s="9" t="s">
        <v>247</v>
      </c>
      <c r="C57" s="20" t="s">
        <v>61</v>
      </c>
      <c r="D57" s="17" t="n">
        <f aca="false">Inputs!$D$22</f>
        <v>0.9</v>
      </c>
      <c r="E57" s="17" t="n">
        <f aca="false">Inputs!$E$22</f>
        <v>0.96</v>
      </c>
      <c r="F57" s="17" t="n">
        <f aca="false">Inputs!$F$22</f>
        <v>1.02</v>
      </c>
      <c r="G57" s="17" t="n">
        <f aca="false">Inputs!$G$22</f>
        <v>1.1</v>
      </c>
      <c r="H57" s="17" t="n">
        <f aca="false">Inputs!$H$22</f>
        <v>1.2</v>
      </c>
      <c r="I57" s="17" t="n">
        <f aca="false">Inputs!$I$22</f>
        <v>1.3</v>
      </c>
    </row>
    <row r="58" customFormat="false" ht="15" hidden="false" customHeight="false" outlineLevel="0" collapsed="false">
      <c r="B58" s="9" t="s">
        <v>248</v>
      </c>
      <c r="C58" s="20" t="s">
        <v>78</v>
      </c>
      <c r="D58" s="15" t="n">
        <f aca="false">D57*D41</f>
        <v>51.3</v>
      </c>
      <c r="E58" s="15" t="n">
        <f aca="false">E57*E41</f>
        <v>54.048</v>
      </c>
      <c r="F58" s="15" t="n">
        <f aca="false">F57*F41</f>
        <v>56.712</v>
      </c>
      <c r="G58" s="15" t="n">
        <f aca="false">G57*G41</f>
        <v>60.5</v>
      </c>
      <c r="H58" s="15" t="n">
        <f aca="false">H57*H41</f>
        <v>65.28</v>
      </c>
      <c r="I58" s="15" t="n">
        <f aca="false">I57*I41</f>
        <v>69.94</v>
      </c>
    </row>
    <row r="59" customFormat="false" ht="15" hidden="false" customHeight="false" outlineLevel="0" collapsed="false">
      <c r="B59" s="9" t="s">
        <v>48</v>
      </c>
      <c r="C59" s="20" t="s">
        <v>78</v>
      </c>
      <c r="D59" s="9"/>
      <c r="E59" s="9"/>
      <c r="F59" s="9"/>
      <c r="G59" s="15" t="n">
        <f aca="false">Inputs!$G$24</f>
        <v>55</v>
      </c>
      <c r="H59" s="15" t="n">
        <f aca="false">Inputs!$H$24</f>
        <v>55</v>
      </c>
      <c r="I59" s="15" t="n">
        <f aca="false">Inputs!$I$24</f>
        <v>55</v>
      </c>
    </row>
    <row r="60" customFormat="false" ht="15" hidden="false" customHeight="false" outlineLevel="0" collapsed="false">
      <c r="B60" s="26" t="s">
        <v>249</v>
      </c>
      <c r="C60" s="20" t="s">
        <v>78</v>
      </c>
      <c r="D60" s="27" t="n">
        <f aca="false">Inputs!$D$23</f>
        <v>1210</v>
      </c>
      <c r="E60" s="27" t="n">
        <f aca="false">Inputs!$E$23</f>
        <v>1160</v>
      </c>
      <c r="F60" s="27" t="n">
        <f aca="false">Inputs!$F$23</f>
        <v>1100</v>
      </c>
      <c r="G60" s="27" t="n">
        <f aca="false">F60-G54+G58+G59</f>
        <v>1006.10205312</v>
      </c>
      <c r="H60" s="27" t="n">
        <f aca="false">G60-H54+H58+H59</f>
        <v>879.214415541904</v>
      </c>
      <c r="I60" s="27" t="n">
        <f aca="false">H60-I54+I58+I59</f>
        <v>724.643163990825</v>
      </c>
    </row>
    <row r="61" customFormat="false" ht="15" hidden="false" customHeight="false" outlineLevel="0" collapsed="false">
      <c r="B61" s="9" t="s">
        <v>250</v>
      </c>
      <c r="C61" s="20" t="s">
        <v>251</v>
      </c>
      <c r="D61" s="30" t="n">
        <f aca="false">D60/D32</f>
        <v>3.69815703413918</v>
      </c>
      <c r="E61" s="30" t="n">
        <f aca="false">E60/E32</f>
        <v>3.1863317355894</v>
      </c>
      <c r="F61" s="30" t="n">
        <f aca="false">F60/F32</f>
        <v>2.75551102204409</v>
      </c>
      <c r="G61" s="30" t="n">
        <f aca="false">G60/G32</f>
        <v>2.31657816191068</v>
      </c>
      <c r="H61" s="30" t="n">
        <f aca="false">H60/H32</f>
        <v>1.84365632711989</v>
      </c>
      <c r="I61" s="30" t="n">
        <f aca="false">I60/I32</f>
        <v>1.39264633223615</v>
      </c>
    </row>
    <row r="62" customFormat="false" ht="15" hidden="false" customHeight="false" outlineLevel="0" collapsed="false">
      <c r="B62" s="9" t="s">
        <v>252</v>
      </c>
      <c r="C62" s="20" t="s">
        <v>78</v>
      </c>
      <c r="D62" s="15" t="n">
        <f aca="false">D35*(1-Inputs!$D$79)+D31+D33-D52-D53</f>
        <v>186.5343</v>
      </c>
      <c r="E62" s="15" t="n">
        <f aca="false">E35*(1-Inputs!$D$79)+E31+E33-E52-E53</f>
        <v>200.94755</v>
      </c>
      <c r="F62" s="15" t="n">
        <f aca="false">F35*(1-Inputs!$D$79)+F31+F33-F52-F53</f>
        <v>221.352</v>
      </c>
      <c r="G62" s="15" t="n">
        <f aca="false">G35*(1-Inputs!$D$79)+G31+G33-G52-G53</f>
        <v>251.74794688</v>
      </c>
      <c r="H62" s="15" t="n">
        <f aca="false">H35*(1-Inputs!$D$79)+H31+H33-H52-H53</f>
        <v>285.902566623216</v>
      </c>
      <c r="I62" s="15" t="n">
        <f aca="false">I35*(1-Inputs!$D$79)+I31+I33-I52-I53</f>
        <v>313.361006549442</v>
      </c>
    </row>
    <row r="63" customFormat="false" ht="15" hidden="false" customHeight="false" outlineLevel="0" collapsed="false">
      <c r="B63" s="18" t="s">
        <v>253</v>
      </c>
      <c r="C63" s="19"/>
      <c r="D63" s="19"/>
      <c r="E63" s="19"/>
      <c r="F63" s="19"/>
      <c r="G63" s="19"/>
      <c r="H63" s="19"/>
      <c r="I63" s="19"/>
    </row>
    <row r="64" customFormat="false" ht="15" hidden="false" customHeight="false" outlineLevel="0" collapsed="false">
      <c r="B64" s="9" t="s">
        <v>254</v>
      </c>
      <c r="C64" s="20" t="s">
        <v>206</v>
      </c>
      <c r="D64" s="9"/>
      <c r="E64" s="14" t="n">
        <f aca="false">(E22-D22)/(E9-D9)</f>
        <v>0.241555555555556</v>
      </c>
      <c r="F64" s="14" t="n">
        <f aca="false">(F22-E22)/(F9-E9)</f>
        <v>0.254</v>
      </c>
      <c r="G64" s="14" t="n">
        <f aca="false">(G22-F22)/(G9-F9)</f>
        <v>0.188737588652483</v>
      </c>
      <c r="H64" s="14" t="n">
        <f aca="false">(H22-G22)/(H9-G9)</f>
        <v>0.235009900990099</v>
      </c>
      <c r="I64" s="14" t="n">
        <f aca="false">(I22-H22)/(I9-H9)</f>
        <v>0.227912087912088</v>
      </c>
    </row>
    <row r="65" customFormat="false" ht="15" hidden="false" customHeight="false" outlineLevel="0" collapsed="false">
      <c r="B65" s="9" t="s">
        <v>255</v>
      </c>
      <c r="C65" s="20" t="s">
        <v>206</v>
      </c>
      <c r="D65" s="9"/>
      <c r="E65" s="14" t="n">
        <f aca="false">(E24-D24)/(E13-D13)</f>
        <v>0.280090909090909</v>
      </c>
      <c r="F65" s="14" t="n">
        <f aca="false">(F24-E24)/(F13-E13)</f>
        <v>0.284454545454545</v>
      </c>
      <c r="G65" s="14" t="n">
        <f aca="false">(G24-F24)/(G13-F13)</f>
        <v>0.310485549132948</v>
      </c>
      <c r="H65" s="14" t="n">
        <f aca="false">(H24-G24)/(H13-G13)</f>
        <v>0.301398362892224</v>
      </c>
      <c r="I65" s="14" t="n">
        <f aca="false">(I24-H24)/(I13-H13)</f>
        <v>0.291576354679803</v>
      </c>
    </row>
    <row r="66" customFormat="false" ht="15" hidden="false" customHeight="false" outlineLevel="0" collapsed="false">
      <c r="B66" s="9" t="s">
        <v>256</v>
      </c>
      <c r="C66" s="20" t="s">
        <v>206</v>
      </c>
      <c r="D66" s="9"/>
      <c r="E66" s="14" t="n">
        <f aca="false">(E26-D26)/(E17-D17)</f>
        <v>0.298333333333333</v>
      </c>
      <c r="F66" s="14" t="n">
        <f aca="false">(F26-E26)/(F17-E17)</f>
        <v>0.308333333333333</v>
      </c>
      <c r="G66" s="14" t="n">
        <f aca="false">(G26-F26)/(G17-F17)</f>
        <v>0.285134831460674</v>
      </c>
      <c r="H66" s="14" t="n">
        <f aca="false">(H26-G26)/(H17-G17)</f>
        <v>0.285292730844794</v>
      </c>
      <c r="I66" s="14" t="n">
        <f aca="false">(I26-H26)/(I17-H17)</f>
        <v>0.274195153896529</v>
      </c>
    </row>
    <row r="67" customFormat="false" ht="15" hidden="false" customHeight="false" outlineLevel="0" collapsed="false">
      <c r="B67" s="9" t="s">
        <v>257</v>
      </c>
      <c r="C67" s="20" t="s">
        <v>206</v>
      </c>
      <c r="D67" s="9"/>
      <c r="E67" s="14" t="n">
        <f aca="false">(E29-D29)/(E18-D18)</f>
        <v>0.255576923076923</v>
      </c>
      <c r="F67" s="14" t="n">
        <f aca="false">(F29-E29)/(F18-E18)</f>
        <v>0.264875</v>
      </c>
      <c r="G67" s="14" t="n">
        <f aca="false">(G29-F29)/(G18-F18)</f>
        <v>0.250242089911864</v>
      </c>
      <c r="H67" s="14" t="n">
        <f aca="false">(H29-G29)/(H18-G18)</f>
        <v>0.262573732011862</v>
      </c>
      <c r="I67" s="14" t="n">
        <f aca="false">(I29-H29)/(I18-H18)</f>
        <v>0.251851337953663</v>
      </c>
    </row>
    <row r="69" customFormat="false" ht="15" hidden="false" customHeight="false" outlineLevel="0" collapsed="false">
      <c r="B69" s="18" t="s">
        <v>258</v>
      </c>
      <c r="C69" s="19"/>
      <c r="D69" s="19"/>
      <c r="E69" s="19"/>
      <c r="F69" s="19"/>
      <c r="G69" s="19"/>
      <c r="H69" s="19"/>
      <c r="I69" s="19"/>
    </row>
    <row r="70" customFormat="false" ht="15" hidden="false" customHeight="false" outlineLevel="0" collapsed="false">
      <c r="B70" s="9" t="s">
        <v>259</v>
      </c>
      <c r="D70" s="14" t="n">
        <f aca="false">Model!$F$9/Model!$F$18</f>
        <v>0.509090909090909</v>
      </c>
    </row>
    <row r="71" customFormat="false" ht="15" hidden="false" customHeight="false" outlineLevel="0" collapsed="false">
      <c r="B71" s="9" t="s">
        <v>260</v>
      </c>
      <c r="D71" s="14" t="n">
        <f aca="false">Model!$F$13/Model!$F$18</f>
        <v>0.290909090909091</v>
      </c>
    </row>
    <row r="72" customFormat="false" ht="15" hidden="false" customHeight="false" outlineLevel="0" collapsed="false">
      <c r="B72" s="9" t="s">
        <v>261</v>
      </c>
      <c r="D72" s="14" t="n">
        <f aca="false">Model!$F$17/Model!$F$18</f>
        <v>0.2</v>
      </c>
    </row>
    <row r="73" customFormat="false" ht="15" hidden="false" customHeight="false" outlineLevel="0" collapsed="false">
      <c r="B73" s="9" t="s">
        <v>262</v>
      </c>
      <c r="D73" s="14" t="n">
        <f aca="false">Model!$I$9/Model!$I$18</f>
        <v>0.479918763303591</v>
      </c>
    </row>
    <row r="74" customFormat="false" ht="15" hidden="false" customHeight="false" outlineLevel="0" collapsed="false">
      <c r="B74" s="9" t="s">
        <v>263</v>
      </c>
      <c r="D74" s="14" t="n">
        <f aca="false">Model!$I$13/Model!$I$18</f>
        <v>0.312298071303785</v>
      </c>
    </row>
    <row r="75" customFormat="false" ht="15" hidden="false" customHeight="false" outlineLevel="0" collapsed="false">
      <c r="B75" s="9" t="s">
        <v>264</v>
      </c>
      <c r="D75" s="14" t="n">
        <f aca="false">Model!$I$17/Model!$I$18</f>
        <v>0.207783165392624</v>
      </c>
    </row>
    <row r="76" customFormat="false" ht="15" hidden="false" customHeight="false" outlineLevel="0" collapsed="false">
      <c r="B76" s="9" t="s">
        <v>265</v>
      </c>
      <c r="D76" s="14" t="n">
        <f aca="false">Model!$F$22/Model!$F$27</f>
        <v>0.377593360995851</v>
      </c>
    </row>
    <row r="77" customFormat="false" ht="15" hidden="false" customHeight="false" outlineLevel="0" collapsed="false">
      <c r="B77" s="9" t="s">
        <v>266</v>
      </c>
      <c r="D77" s="14" t="n">
        <f aca="false">Model!$F$24/Model!$F$27</f>
        <v>0.348547717842324</v>
      </c>
    </row>
    <row r="78" customFormat="false" ht="15" hidden="false" customHeight="false" outlineLevel="0" collapsed="false">
      <c r="B78" s="9" t="s">
        <v>267</v>
      </c>
      <c r="D78" s="14" t="n">
        <f aca="false">Model!$F$26/Model!$F$27</f>
        <v>0.273858921161826</v>
      </c>
    </row>
    <row r="79" customFormat="false" ht="15" hidden="false" customHeight="false" outlineLevel="0" collapsed="false">
      <c r="B79" s="9" t="s">
        <v>268</v>
      </c>
      <c r="D79" s="14" t="n">
        <f aca="false">Model!$D$71+Model!$D$72</f>
        <v>0.490909090909091</v>
      </c>
    </row>
    <row r="80" customFormat="false" ht="15" hidden="false" customHeight="false" outlineLevel="0" collapsed="false">
      <c r="B80" s="9" t="s">
        <v>269</v>
      </c>
      <c r="D80" s="14" t="n">
        <f aca="false">Model!$D$77+Model!$D$78</f>
        <v>0.622406639004149</v>
      </c>
    </row>
    <row r="81" customFormat="false" ht="15" hidden="false" customHeight="false" outlineLevel="0" collapsed="false">
      <c r="B81" s="9" t="s">
        <v>270</v>
      </c>
      <c r="D81" s="14" t="n">
        <f aca="false">(Model!$I$48/Model!$F$48)^(1/3)-1</f>
        <v>0.133804651391889</v>
      </c>
    </row>
    <row r="82" customFormat="false" ht="15" hidden="false" customHeight="false" outlineLevel="0" collapsed="false">
      <c r="B82" s="9" t="s">
        <v>271</v>
      </c>
      <c r="D82" s="14" t="n">
        <f aca="false">(Model!$I$18/Model!$F$18)^(1/3)-1</f>
        <v>0.0610415978476011</v>
      </c>
    </row>
    <row r="83" customFormat="false" ht="15" hidden="false" customHeight="false" outlineLevel="0" collapsed="false">
      <c r="B83" s="9" t="s">
        <v>272</v>
      </c>
      <c r="C83" s="20" t="s">
        <v>78</v>
      </c>
      <c r="D83" s="15" t="n">
        <f aca="false">Model!$E$34+Model!$F$34+Model!$G$34</f>
        <v>49</v>
      </c>
    </row>
    <row r="84" customFormat="false" ht="15" hidden="false" customHeight="false" outlineLevel="0" collapsed="false">
      <c r="B84" s="9" t="s">
        <v>273</v>
      </c>
      <c r="C84" s="20" t="s">
        <v>61</v>
      </c>
      <c r="D84" s="17" t="n">
        <f aca="false">Model!$G$48-Model!$G$45</f>
        <v>4.230415616</v>
      </c>
    </row>
    <row r="85" customFormat="false" ht="15" hidden="false" customHeight="false" outlineLevel="0" collapsed="false">
      <c r="B85" s="9" t="s">
        <v>274</v>
      </c>
      <c r="D85" s="14" t="n">
        <f aca="false">Model!$I$27/Model!$I$18</f>
        <v>0.190547408279744</v>
      </c>
    </row>
    <row r="86" customFormat="false" ht="15" hidden="false" customHeight="false" outlineLevel="0" collapsed="false">
      <c r="B86" s="9" t="s">
        <v>275</v>
      </c>
      <c r="D86" s="31" t="n">
        <f aca="false">ABS(Model!$D$18-Model!$D$9-Model!$D$13-Model!$D$17)+ABS(Model!$E$18-Model!$E$9-Model!$E$13-Model!$E$17)+ABS(Model!$F$18-Model!$F$9-Model!$F$13-Model!$F$17)+ABS(Model!$G$18-Model!$G$9-Model!$G$13-Model!$G$17)+ABS(Model!$H$18-Model!$H$9-Model!$H$13-Model!$H$17)+ABS(Model!$I$18-Model!$I$9-Model!$I$13-Model!$I$17)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I1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3" topLeftCell="D4" activePane="bottomRight" state="frozen"/>
      <selection pane="topLeft" activeCell="A1" activeCellId="0" sqref="A1"/>
      <selection pane="topRight" activeCell="D1" activeCellId="0" sqref="D1"/>
      <selection pane="bottomLeft" activeCell="A4" activeCellId="0" sqref="A4"/>
      <selection pane="bottomRight" activeCell="A1" activeCellId="0" sqref="A1"/>
    </sheetView>
  </sheetViews>
  <sheetFormatPr defaultColWidth="8.558593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8"/>
    <col collapsed="false" customWidth="true" hidden="false" outlineLevel="0" max="3" min="3" style="0" width="6"/>
    <col collapsed="false" customWidth="true" hidden="false" outlineLevel="0" max="9" min="4" style="0" width="12"/>
  </cols>
  <sheetData>
    <row r="1" customFormat="false" ht="6" hidden="false" customHeight="true" outlineLevel="0" collapsed="false"/>
    <row r="2" customFormat="false" ht="17.35" hidden="false" customHeight="false" outlineLevel="0" collapsed="false">
      <c r="B2" s="5" t="s">
        <v>276</v>
      </c>
    </row>
    <row r="3" customFormat="false" ht="15" hidden="false" customHeight="false" outlineLevel="0" collapsed="false">
      <c r="B3" s="6" t="s">
        <v>277</v>
      </c>
    </row>
    <row r="4" customFormat="false" ht="15" hidden="false" customHeight="false" outlineLevel="0" collapsed="false">
      <c r="B4" s="7" t="s">
        <v>278</v>
      </c>
      <c r="C4" s="8"/>
      <c r="D4" s="8" t="s">
        <v>279</v>
      </c>
      <c r="E4" s="8" t="s">
        <v>280</v>
      </c>
      <c r="F4" s="8" t="s">
        <v>281</v>
      </c>
    </row>
    <row r="5" customFormat="false" ht="15" hidden="false" customHeight="false" outlineLevel="0" collapsed="false">
      <c r="B5" s="9" t="s">
        <v>282</v>
      </c>
      <c r="C5" s="20" t="s">
        <v>61</v>
      </c>
      <c r="D5" s="17" t="n">
        <f aca="false">Scenarios!$G$66</f>
        <v>4.01807392</v>
      </c>
      <c r="E5" s="17" t="n">
        <f aca="false">Model!$G$48</f>
        <v>4.398415616</v>
      </c>
      <c r="F5" s="17" t="n">
        <f aca="false">Scenarios!$G$131</f>
        <v>4.64564492</v>
      </c>
    </row>
    <row r="6" customFormat="false" ht="15" hidden="false" customHeight="false" outlineLevel="0" collapsed="false">
      <c r="B6" s="9" t="s">
        <v>283</v>
      </c>
      <c r="C6" s="20" t="s">
        <v>61</v>
      </c>
      <c r="D6" s="17" t="n">
        <f aca="false">Scenarios!$H$66</f>
        <v>4.33652012237732</v>
      </c>
      <c r="E6" s="17" t="n">
        <f aca="false">Model!$H$48</f>
        <v>5.05801284230324</v>
      </c>
      <c r="F6" s="17" t="n">
        <f aca="false">Scenarios!$H$131</f>
        <v>5.4978702825568</v>
      </c>
    </row>
    <row r="7" customFormat="false" ht="15" hidden="false" customHeight="false" outlineLevel="0" collapsed="false">
      <c r="B7" s="9" t="s">
        <v>284</v>
      </c>
      <c r="C7" s="20"/>
      <c r="D7" s="32" t="n">
        <f aca="false">Inputs!$D$112</f>
        <v>16</v>
      </c>
      <c r="E7" s="32" t="n">
        <f aca="false">Inputs!$D$114</f>
        <v>20</v>
      </c>
      <c r="F7" s="32" t="n">
        <f aca="false">Inputs!$D$116</f>
        <v>23</v>
      </c>
    </row>
    <row r="8" customFormat="false" ht="15" hidden="false" customHeight="false" outlineLevel="0" collapsed="false">
      <c r="B8" s="9" t="s">
        <v>285</v>
      </c>
      <c r="C8" s="20" t="s">
        <v>61</v>
      </c>
      <c r="D8" s="17" t="n">
        <f aca="false">D7*D6</f>
        <v>69.3843219580371</v>
      </c>
      <c r="E8" s="17" t="n">
        <f aca="false">E7*E6</f>
        <v>101.160256846065</v>
      </c>
      <c r="F8" s="17" t="n">
        <f aca="false">F7*F6</f>
        <v>126.451016498806</v>
      </c>
    </row>
    <row r="9" customFormat="false" ht="15" hidden="false" customHeight="false" outlineLevel="0" collapsed="false">
      <c r="B9" s="9" t="s">
        <v>286</v>
      </c>
      <c r="C9" s="20"/>
      <c r="D9" s="33" t="n">
        <f aca="false">D8/Inputs!$D$86-1</f>
        <v>-0.195077471484489</v>
      </c>
      <c r="E9" s="33" t="n">
        <f aca="false">E8/Inputs!$D$86-1</f>
        <v>0.173552863643442</v>
      </c>
      <c r="F9" s="33" t="n">
        <f aca="false">F8/Inputs!$D$86-1</f>
        <v>0.46694914731794</v>
      </c>
    </row>
    <row r="10" customFormat="false" ht="15" hidden="false" customHeight="false" outlineLevel="0" collapsed="false">
      <c r="B10" s="9" t="s">
        <v>287</v>
      </c>
      <c r="C10" s="20"/>
      <c r="D10" s="29" t="n">
        <f aca="false">Inputs!$D$113</f>
        <v>0.25</v>
      </c>
      <c r="E10" s="29" t="n">
        <f aca="false">Inputs!$D$115</f>
        <v>0.5</v>
      </c>
      <c r="F10" s="29" t="n">
        <f aca="false">Inputs!$D$117</f>
        <v>0.25</v>
      </c>
    </row>
    <row r="11" customFormat="false" ht="15" hidden="false" customHeight="false" outlineLevel="0" collapsed="false">
      <c r="B11" s="9" t="s">
        <v>288</v>
      </c>
      <c r="C11" s="20" t="s">
        <v>61</v>
      </c>
      <c r="D11" s="17" t="n">
        <f aca="false">D10*D8</f>
        <v>17.3460804895093</v>
      </c>
      <c r="E11" s="17" t="n">
        <f aca="false">E10*E8</f>
        <v>50.5801284230324</v>
      </c>
      <c r="F11" s="17" t="n">
        <f aca="false">F10*F8</f>
        <v>31.6127541247016</v>
      </c>
    </row>
    <row r="13" customFormat="false" ht="15" hidden="false" customHeight="false" outlineLevel="0" collapsed="false">
      <c r="B13" s="26" t="s">
        <v>289</v>
      </c>
      <c r="C13" s="20" t="s">
        <v>61</v>
      </c>
      <c r="D13" s="28" t="n">
        <f aca="false">SUM(D11:F11)</f>
        <v>99.5389630372432</v>
      </c>
    </row>
    <row r="14" customFormat="false" ht="15" hidden="false" customHeight="false" outlineLevel="0" collapsed="false">
      <c r="B14" s="9" t="s">
        <v>290</v>
      </c>
      <c r="D14" s="33" t="n">
        <f aca="false">$D$13/Inputs!$D$86-1</f>
        <v>0.154744350780084</v>
      </c>
    </row>
    <row r="15" customFormat="false" ht="15" hidden="false" customHeight="false" outlineLevel="0" collapsed="false">
      <c r="B15" s="9" t="s">
        <v>291</v>
      </c>
      <c r="D15" s="34" t="n">
        <f aca="false">($F$8-Inputs!$D$86)/(Inputs!$D$86-$D$8)</f>
        <v>2.39366003549553</v>
      </c>
    </row>
    <row r="16" customFormat="false" ht="15" hidden="false" customHeight="false" outlineLevel="0" collapsed="false">
      <c r="B16" s="9" t="s">
        <v>292</v>
      </c>
      <c r="D16" s="29" t="n">
        <f aca="false">SUM(D10:F10)</f>
        <v>1</v>
      </c>
    </row>
    <row r="22" customFormat="false" ht="15" hidden="false" customHeight="false" outlineLevel="0" collapsed="false">
      <c r="B22" s="7" t="s">
        <v>293</v>
      </c>
      <c r="C22" s="8"/>
      <c r="D22" s="8" t="s">
        <v>23</v>
      </c>
      <c r="E22" s="8" t="s">
        <v>24</v>
      </c>
      <c r="F22" s="8" t="s">
        <v>25</v>
      </c>
      <c r="G22" s="8" t="s">
        <v>26</v>
      </c>
      <c r="H22" s="8" t="s">
        <v>27</v>
      </c>
      <c r="I22" s="8" t="s">
        <v>28</v>
      </c>
    </row>
    <row r="23" customFormat="false" ht="15" hidden="false" customHeight="false" outlineLevel="0" collapsed="false">
      <c r="B23" s="18" t="s">
        <v>205</v>
      </c>
      <c r="C23" s="19"/>
      <c r="D23" s="19"/>
      <c r="E23" s="19"/>
      <c r="F23" s="19"/>
      <c r="G23" s="19"/>
      <c r="H23" s="19"/>
      <c r="I23" s="19"/>
    </row>
    <row r="24" customFormat="false" ht="15" hidden="false" customHeight="false" outlineLevel="0" collapsed="false">
      <c r="B24" s="9" t="s">
        <v>32</v>
      </c>
      <c r="C24" s="20" t="s">
        <v>206</v>
      </c>
      <c r="D24" s="14" t="n">
        <f aca="false">(1+D26)/(1+D25)-1</f>
        <v>0.0103708741165327</v>
      </c>
      <c r="E24" s="14" t="n">
        <f aca="false">(1+E26)/(1+E25)-1</f>
        <v>0.0128827483196416</v>
      </c>
      <c r="F24" s="14" t="n">
        <f aca="false">(1+F26)/(1+F25)-1</f>
        <v>0.00708103855232101</v>
      </c>
      <c r="G24" s="14" t="n">
        <f aca="false">Inputs!$G$45</f>
        <v>-0.03</v>
      </c>
      <c r="H24" s="14" t="n">
        <f aca="false">Inputs!$H$45</f>
        <v>-0.01</v>
      </c>
      <c r="I24" s="14" t="n">
        <f aca="false">Inputs!$I$45</f>
        <v>0.01</v>
      </c>
    </row>
    <row r="25" customFormat="false" ht="15" hidden="false" customHeight="false" outlineLevel="0" collapsed="false">
      <c r="B25" s="9" t="s">
        <v>35</v>
      </c>
      <c r="C25" s="20" t="s">
        <v>206</v>
      </c>
      <c r="D25" s="14" t="n">
        <f aca="false">Inputs!$D$11</f>
        <v>0.045</v>
      </c>
      <c r="E25" s="14" t="n">
        <f aca="false">Inputs!$E$11</f>
        <v>0.03</v>
      </c>
      <c r="F25" s="14" t="n">
        <f aca="false">Inputs!$F$11</f>
        <v>0.025</v>
      </c>
      <c r="G25" s="14" t="n">
        <f aca="false">Inputs!$G$48</f>
        <v>0.025</v>
      </c>
      <c r="H25" s="14" t="n">
        <f aca="false">Inputs!$H$48</f>
        <v>0.02</v>
      </c>
      <c r="I25" s="14" t="n">
        <f aca="false">Inputs!$I$48</f>
        <v>0.02</v>
      </c>
    </row>
    <row r="26" customFormat="false" ht="15" hidden="false" customHeight="false" outlineLevel="0" collapsed="false">
      <c r="B26" s="9" t="s">
        <v>207</v>
      </c>
      <c r="C26" s="20" t="s">
        <v>206</v>
      </c>
      <c r="D26" s="14" t="n">
        <f aca="false">D27/Inputs!$C$5-1</f>
        <v>0.0558375634517767</v>
      </c>
      <c r="E26" s="14" t="n">
        <f aca="false">E27/D27-1</f>
        <v>0.0432692307692308</v>
      </c>
      <c r="F26" s="14" t="n">
        <f aca="false">F27/E27-1</f>
        <v>0.032258064516129</v>
      </c>
      <c r="G26" s="14" t="n">
        <f aca="false">(1+G24)*(1+G25)-1</f>
        <v>-0.00575000000000014</v>
      </c>
      <c r="H26" s="14" t="n">
        <f aca="false">(1+H24)*(1+H25)-1</f>
        <v>0.00980000000000003</v>
      </c>
      <c r="I26" s="14" t="n">
        <f aca="false">(1+I24)*(1+I25)-1</f>
        <v>0.0302</v>
      </c>
    </row>
    <row r="27" customFormat="false" ht="15" hidden="false" customHeight="false" outlineLevel="0" collapsed="false">
      <c r="B27" s="9" t="s">
        <v>208</v>
      </c>
      <c r="C27" s="20" t="s">
        <v>78</v>
      </c>
      <c r="D27" s="15" t="n">
        <f aca="false">Inputs!$D$5</f>
        <v>1040</v>
      </c>
      <c r="E27" s="15" t="n">
        <f aca="false">Inputs!$E$5</f>
        <v>1085</v>
      </c>
      <c r="F27" s="15" t="n">
        <f aca="false">Inputs!$F$5</f>
        <v>1120</v>
      </c>
      <c r="G27" s="15" t="n">
        <f aca="false">F27*(1+G26)</f>
        <v>1113.56</v>
      </c>
      <c r="H27" s="15" t="n">
        <f aca="false">G27*(1+H26)</f>
        <v>1124.472888</v>
      </c>
      <c r="I27" s="15" t="n">
        <f aca="false">H27*(1+I26)</f>
        <v>1158.4319692176</v>
      </c>
    </row>
    <row r="28" customFormat="false" ht="15" hidden="false" customHeight="false" outlineLevel="0" collapsed="false">
      <c r="B28" s="9" t="s">
        <v>33</v>
      </c>
      <c r="C28" s="20" t="s">
        <v>206</v>
      </c>
      <c r="D28" s="14" t="n">
        <f aca="false">(1+D30)/(1+D29)-1</f>
        <v>0.0661409719987125</v>
      </c>
      <c r="E28" s="14" t="n">
        <f aca="false">(1+E30)/(1+E29)-1</f>
        <v>0.0716248397142334</v>
      </c>
      <c r="F28" s="14" t="n">
        <f aca="false">(1+F30)/(1+F29)-1</f>
        <v>0.0673337502605798</v>
      </c>
      <c r="G28" s="14" t="n">
        <f aca="false">Inputs!$G$46</f>
        <v>0.03</v>
      </c>
      <c r="H28" s="14" t="n">
        <f aca="false">Inputs!$H$46</f>
        <v>0.035</v>
      </c>
      <c r="I28" s="14" t="n">
        <f aca="false">Inputs!$I$46</f>
        <v>0.04</v>
      </c>
    </row>
    <row r="29" customFormat="false" ht="15" hidden="false" customHeight="false" outlineLevel="0" collapsed="false">
      <c r="B29" s="9" t="s">
        <v>36</v>
      </c>
      <c r="C29" s="20" t="s">
        <v>206</v>
      </c>
      <c r="D29" s="14" t="n">
        <f aca="false">Inputs!$D$12</f>
        <v>0.04</v>
      </c>
      <c r="E29" s="14" t="n">
        <f aca="false">Inputs!$E$12</f>
        <v>0.03</v>
      </c>
      <c r="F29" s="14" t="n">
        <f aca="false">Inputs!$F$12</f>
        <v>0.025</v>
      </c>
      <c r="G29" s="14" t="n">
        <f aca="false">Inputs!$G$49</f>
        <v>0.025</v>
      </c>
      <c r="H29" s="14" t="n">
        <f aca="false">Inputs!$H$49</f>
        <v>0.025</v>
      </c>
      <c r="I29" s="14" t="n">
        <f aca="false">Inputs!$I$49</f>
        <v>0.02</v>
      </c>
    </row>
    <row r="30" customFormat="false" ht="15" hidden="false" customHeight="false" outlineLevel="0" collapsed="false">
      <c r="B30" s="9" t="s">
        <v>209</v>
      </c>
      <c r="C30" s="20" t="s">
        <v>206</v>
      </c>
      <c r="D30" s="14" t="n">
        <f aca="false">D31/Inputs!$C$6-1</f>
        <v>0.108786610878661</v>
      </c>
      <c r="E30" s="14" t="n">
        <f aca="false">E31/D31-1</f>
        <v>0.10377358490566</v>
      </c>
      <c r="F30" s="14" t="n">
        <f aca="false">F31/E31-1</f>
        <v>0.0940170940170941</v>
      </c>
      <c r="G30" s="14" t="n">
        <f aca="false">(1+G28)*(1+G29)-1</f>
        <v>0.05575</v>
      </c>
      <c r="H30" s="14" t="n">
        <f aca="false">(1+H28)*(1+H29)-1</f>
        <v>0.0608749999999998</v>
      </c>
      <c r="I30" s="14" t="n">
        <f aca="false">(1+I28)*(1+I29)-1</f>
        <v>0.0608</v>
      </c>
    </row>
    <row r="31" customFormat="false" ht="15" hidden="false" customHeight="false" outlineLevel="0" collapsed="false">
      <c r="B31" s="9" t="s">
        <v>210</v>
      </c>
      <c r="C31" s="20" t="s">
        <v>78</v>
      </c>
      <c r="D31" s="15" t="n">
        <f aca="false">Inputs!$D$6</f>
        <v>530</v>
      </c>
      <c r="E31" s="15" t="n">
        <f aca="false">Inputs!$E$6</f>
        <v>585</v>
      </c>
      <c r="F31" s="15" t="n">
        <f aca="false">Inputs!$F$6</f>
        <v>640</v>
      </c>
      <c r="G31" s="15" t="n">
        <f aca="false">F31*(1+G30)</f>
        <v>675.68</v>
      </c>
      <c r="H31" s="15" t="n">
        <f aca="false">G31*(1+H30)</f>
        <v>716.81202</v>
      </c>
      <c r="I31" s="15" t="n">
        <f aca="false">H31*(1+I30)</f>
        <v>760.394190816</v>
      </c>
    </row>
    <row r="32" customFormat="false" ht="15" hidden="false" customHeight="false" outlineLevel="0" collapsed="false">
      <c r="B32" s="9" t="s">
        <v>34</v>
      </c>
      <c r="C32" s="20" t="s">
        <v>206</v>
      </c>
      <c r="D32" s="14" t="n">
        <f aca="false">(1+D34)/(1+D33)-1</f>
        <v>0.0281385281385282</v>
      </c>
      <c r="E32" s="14" t="n">
        <f aca="false">(1+E34)/(1+E33)-1</f>
        <v>0.0424612255275871</v>
      </c>
      <c r="F32" s="14" t="n">
        <f aca="false">(1+F34)/(1+F33)-1</f>
        <v>0.0419133317546767</v>
      </c>
      <c r="G32" s="14" t="n">
        <f aca="false">Inputs!$G$47</f>
        <v>0.03</v>
      </c>
      <c r="H32" s="14" t="n">
        <f aca="false">Inputs!$H$47</f>
        <v>0.035</v>
      </c>
      <c r="I32" s="14" t="n">
        <f aca="false">Inputs!$I$47</f>
        <v>0.035</v>
      </c>
    </row>
    <row r="33" customFormat="false" ht="15" hidden="false" customHeight="false" outlineLevel="0" collapsed="false">
      <c r="B33" s="9" t="s">
        <v>37</v>
      </c>
      <c r="C33" s="20" t="s">
        <v>206</v>
      </c>
      <c r="D33" s="14" t="n">
        <f aca="false">Inputs!$D$13</f>
        <v>0.05</v>
      </c>
      <c r="E33" s="14" t="n">
        <f aca="false">Inputs!$E$13</f>
        <v>0.035</v>
      </c>
      <c r="F33" s="14" t="n">
        <f aca="false">Inputs!$F$13</f>
        <v>0.03</v>
      </c>
      <c r="G33" s="14" t="n">
        <f aca="false">Inputs!$G$50</f>
        <v>0.03</v>
      </c>
      <c r="H33" s="14" t="n">
        <f aca="false">Inputs!$H$50</f>
        <v>0.03</v>
      </c>
      <c r="I33" s="14" t="n">
        <f aca="false">Inputs!$I$50</f>
        <v>0.03</v>
      </c>
    </row>
    <row r="34" customFormat="false" ht="15" hidden="false" customHeight="false" outlineLevel="0" collapsed="false">
      <c r="B34" s="9" t="s">
        <v>211</v>
      </c>
      <c r="C34" s="20" t="s">
        <v>206</v>
      </c>
      <c r="D34" s="14" t="n">
        <f aca="false">D35/Inputs!$C$7-1</f>
        <v>0.0795454545454546</v>
      </c>
      <c r="E34" s="14" t="n">
        <f aca="false">E35/D35-1</f>
        <v>0.0789473684210527</v>
      </c>
      <c r="F34" s="14" t="n">
        <f aca="false">F35/E35-1</f>
        <v>0.0731707317073171</v>
      </c>
      <c r="G34" s="14" t="n">
        <f aca="false">(1+G32)*(1+G33)-1</f>
        <v>0.0609</v>
      </c>
      <c r="H34" s="14" t="n">
        <f aca="false">(1+H32)*(1+H33)-1</f>
        <v>0.0660499999999999</v>
      </c>
      <c r="I34" s="14" t="n">
        <f aca="false">(1+I32)*(1+I33)-1</f>
        <v>0.0660499999999999</v>
      </c>
    </row>
    <row r="35" customFormat="false" ht="15" hidden="false" customHeight="false" outlineLevel="0" collapsed="false">
      <c r="B35" s="9" t="s">
        <v>212</v>
      </c>
      <c r="C35" s="20" t="s">
        <v>78</v>
      </c>
      <c r="D35" s="15" t="n">
        <f aca="false">Inputs!$D$7</f>
        <v>380</v>
      </c>
      <c r="E35" s="15" t="n">
        <f aca="false">Inputs!$E$7</f>
        <v>410</v>
      </c>
      <c r="F35" s="15" t="n">
        <f aca="false">Inputs!$F$7</f>
        <v>440</v>
      </c>
      <c r="G35" s="15" t="n">
        <f aca="false">F35*(1+G34)</f>
        <v>466.796</v>
      </c>
      <c r="H35" s="15" t="n">
        <f aca="false">G35*(1+H34)</f>
        <v>497.6278758</v>
      </c>
      <c r="I35" s="15" t="n">
        <f aca="false">H35*(1+I34)</f>
        <v>530.49619699659</v>
      </c>
    </row>
    <row r="36" customFormat="false" ht="15" hidden="false" customHeight="false" outlineLevel="0" collapsed="false">
      <c r="B36" s="26" t="s">
        <v>213</v>
      </c>
      <c r="C36" s="20" t="s">
        <v>78</v>
      </c>
      <c r="D36" s="27" t="n">
        <f aca="false">D27+D31+D35</f>
        <v>1950</v>
      </c>
      <c r="E36" s="27" t="n">
        <f aca="false">E27+E31+E35</f>
        <v>2080</v>
      </c>
      <c r="F36" s="27" t="n">
        <f aca="false">F27+F31+F35</f>
        <v>2200</v>
      </c>
      <c r="G36" s="27" t="n">
        <f aca="false">G27+G31+G35</f>
        <v>2256.036</v>
      </c>
      <c r="H36" s="27" t="n">
        <f aca="false">H27+H31+H35</f>
        <v>2338.9127838</v>
      </c>
      <c r="I36" s="27" t="n">
        <f aca="false">I27+I31+I35</f>
        <v>2449.32235703019</v>
      </c>
    </row>
    <row r="37" customFormat="false" ht="15" hidden="false" customHeight="false" outlineLevel="0" collapsed="false">
      <c r="B37" s="9" t="s">
        <v>214</v>
      </c>
      <c r="C37" s="20" t="s">
        <v>206</v>
      </c>
      <c r="D37" s="14" t="n">
        <f aca="false">D36/(Inputs!$C$5+Inputs!$C$6+Inputs!$C$7)-1</f>
        <v>0.0743801652892562</v>
      </c>
      <c r="E37" s="14" t="n">
        <f aca="false">E36/D36-1</f>
        <v>0.0666666666666667</v>
      </c>
      <c r="F37" s="14" t="n">
        <f aca="false">F36/E36-1</f>
        <v>0.0576923076923077</v>
      </c>
      <c r="G37" s="14" t="n">
        <f aca="false">G36/F36-1</f>
        <v>0.0254709090909089</v>
      </c>
      <c r="H37" s="14" t="n">
        <f aca="false">H36/G36-1</f>
        <v>0.0367355768259019</v>
      </c>
      <c r="I37" s="14" t="n">
        <f aca="false">I36/H36-1</f>
        <v>0.0472055110369738</v>
      </c>
    </row>
    <row r="38" customFormat="false" ht="15" hidden="false" customHeight="false" outlineLevel="0" collapsed="false">
      <c r="B38" s="18" t="s">
        <v>215</v>
      </c>
      <c r="C38" s="19"/>
      <c r="D38" s="19"/>
      <c r="E38" s="19"/>
      <c r="F38" s="19"/>
      <c r="G38" s="19"/>
      <c r="H38" s="19"/>
      <c r="I38" s="19"/>
    </row>
    <row r="39" customFormat="false" ht="15" hidden="false" customHeight="false" outlineLevel="0" collapsed="false">
      <c r="B39" s="9" t="s">
        <v>38</v>
      </c>
      <c r="C39" s="20" t="s">
        <v>206</v>
      </c>
      <c r="D39" s="14" t="n">
        <f aca="false">Inputs!$D$14</f>
        <v>0.121</v>
      </c>
      <c r="E39" s="14" t="n">
        <f aca="false">Inputs!$E$14</f>
        <v>0.126</v>
      </c>
      <c r="F39" s="14" t="n">
        <f aca="false">Inputs!$F$14</f>
        <v>0.13</v>
      </c>
      <c r="G39" s="14" t="n">
        <f aca="false">Inputs!$G$51</f>
        <v>0.124</v>
      </c>
      <c r="H39" s="14" t="n">
        <f aca="false">Inputs!$H$51</f>
        <v>0.122</v>
      </c>
      <c r="I39" s="14" t="n">
        <f aca="false">Inputs!$I$51</f>
        <v>0.126</v>
      </c>
    </row>
    <row r="40" customFormat="false" ht="15" hidden="false" customHeight="false" outlineLevel="0" collapsed="false">
      <c r="B40" s="9" t="s">
        <v>216</v>
      </c>
      <c r="C40" s="20" t="s">
        <v>78</v>
      </c>
      <c r="D40" s="15" t="n">
        <f aca="false">D27*D39</f>
        <v>125.84</v>
      </c>
      <c r="E40" s="15" t="n">
        <f aca="false">E27*E39</f>
        <v>136.71</v>
      </c>
      <c r="F40" s="15" t="n">
        <f aca="false">F27*F39</f>
        <v>145.6</v>
      </c>
      <c r="G40" s="15" t="n">
        <f aca="false">G27*G39</f>
        <v>138.08144</v>
      </c>
      <c r="H40" s="15" t="n">
        <f aca="false">H27*H39</f>
        <v>137.185692336</v>
      </c>
      <c r="I40" s="15" t="n">
        <f aca="false">I27*I39</f>
        <v>145.962428121418</v>
      </c>
    </row>
    <row r="41" customFormat="false" ht="15" hidden="false" customHeight="false" outlineLevel="0" collapsed="false">
      <c r="B41" s="9" t="s">
        <v>39</v>
      </c>
      <c r="C41" s="20" t="s">
        <v>206</v>
      </c>
      <c r="D41" s="14" t="n">
        <f aca="false">Inputs!$D$15</f>
        <v>0.195</v>
      </c>
      <c r="E41" s="14" t="n">
        <f aca="false">Inputs!$E$15</f>
        <v>0.203</v>
      </c>
      <c r="F41" s="14" t="n">
        <f aca="false">Inputs!$F$15</f>
        <v>0.21</v>
      </c>
      <c r="G41" s="14" t="n">
        <f aca="false">Inputs!$G$52</f>
        <v>0.21</v>
      </c>
      <c r="H41" s="14" t="n">
        <f aca="false">Inputs!$H$52</f>
        <v>0.212</v>
      </c>
      <c r="I41" s="14" t="n">
        <f aca="false">Inputs!$I$52</f>
        <v>0.216</v>
      </c>
    </row>
    <row r="42" customFormat="false" ht="15" hidden="false" customHeight="false" outlineLevel="0" collapsed="false">
      <c r="B42" s="9" t="s">
        <v>217</v>
      </c>
      <c r="C42" s="20" t="s">
        <v>78</v>
      </c>
      <c r="D42" s="15" t="n">
        <f aca="false">D31*D41</f>
        <v>103.35</v>
      </c>
      <c r="E42" s="15" t="n">
        <f aca="false">E31*E41</f>
        <v>118.755</v>
      </c>
      <c r="F42" s="15" t="n">
        <f aca="false">F31*F41</f>
        <v>134.4</v>
      </c>
      <c r="G42" s="15" t="n">
        <f aca="false">G31*G41</f>
        <v>141.8928</v>
      </c>
      <c r="H42" s="15" t="n">
        <f aca="false">H31*H41</f>
        <v>151.96414824</v>
      </c>
      <c r="I42" s="15" t="n">
        <f aca="false">I31*I41</f>
        <v>164.245145216256</v>
      </c>
    </row>
    <row r="43" customFormat="false" ht="15" hidden="false" customHeight="false" outlineLevel="0" collapsed="false">
      <c r="B43" s="9" t="s">
        <v>40</v>
      </c>
      <c r="C43" s="20" t="s">
        <v>206</v>
      </c>
      <c r="D43" s="14" t="n">
        <f aca="false">Inputs!$D$16</f>
        <v>0.23</v>
      </c>
      <c r="E43" s="14" t="n">
        <f aca="false">Inputs!$E$16</f>
        <v>0.235</v>
      </c>
      <c r="F43" s="14" t="n">
        <f aca="false">Inputs!$F$16</f>
        <v>0.24</v>
      </c>
      <c r="G43" s="14" t="n">
        <f aca="false">Inputs!$G$53</f>
        <v>0.24</v>
      </c>
      <c r="H43" s="14" t="n">
        <f aca="false">Inputs!$H$53</f>
        <v>0.241</v>
      </c>
      <c r="I43" s="14" t="n">
        <f aca="false">Inputs!$I$53</f>
        <v>0.242</v>
      </c>
    </row>
    <row r="44" customFormat="false" ht="15" hidden="false" customHeight="false" outlineLevel="0" collapsed="false">
      <c r="B44" s="9" t="s">
        <v>218</v>
      </c>
      <c r="C44" s="20" t="s">
        <v>78</v>
      </c>
      <c r="D44" s="15" t="n">
        <f aca="false">D35*D43</f>
        <v>87.4</v>
      </c>
      <c r="E44" s="15" t="n">
        <f aca="false">E35*E43</f>
        <v>96.35</v>
      </c>
      <c r="F44" s="15" t="n">
        <f aca="false">F35*F43</f>
        <v>105.6</v>
      </c>
      <c r="G44" s="15" t="n">
        <f aca="false">G35*G43</f>
        <v>112.03104</v>
      </c>
      <c r="H44" s="15" t="n">
        <f aca="false">H35*H43</f>
        <v>119.9283180678</v>
      </c>
      <c r="I44" s="15" t="n">
        <f aca="false">I35*I43</f>
        <v>128.380079673175</v>
      </c>
    </row>
    <row r="45" customFormat="false" ht="15" hidden="false" customHeight="false" outlineLevel="0" collapsed="false">
      <c r="B45" s="9" t="s">
        <v>219</v>
      </c>
      <c r="C45" s="20" t="s">
        <v>78</v>
      </c>
      <c r="D45" s="15" t="n">
        <f aca="false">D40+D42+D44</f>
        <v>316.59</v>
      </c>
      <c r="E45" s="15" t="n">
        <f aca="false">E40+E42+E44</f>
        <v>351.815</v>
      </c>
      <c r="F45" s="15" t="n">
        <f aca="false">F40+F42+F44</f>
        <v>385.6</v>
      </c>
      <c r="G45" s="15" t="n">
        <f aca="false">G40+G42+G44</f>
        <v>392.00528</v>
      </c>
      <c r="H45" s="15" t="n">
        <f aca="false">H40+H42+H44</f>
        <v>409.0781586438</v>
      </c>
      <c r="I45" s="15" t="n">
        <f aca="false">I40+I42+I44</f>
        <v>438.587653010848</v>
      </c>
    </row>
    <row r="46" customFormat="false" ht="15" hidden="false" customHeight="false" outlineLevel="0" collapsed="false">
      <c r="B46" s="9" t="s">
        <v>41</v>
      </c>
      <c r="C46" s="20" t="s">
        <v>78</v>
      </c>
      <c r="D46" s="15" t="n">
        <f aca="false">Inputs!$D$17</f>
        <v>44</v>
      </c>
      <c r="E46" s="15" t="n">
        <f aca="false">Inputs!$E$17</f>
        <v>46</v>
      </c>
      <c r="F46" s="15" t="n">
        <f aca="false">Inputs!$F$17</f>
        <v>48</v>
      </c>
      <c r="G46" s="15" t="n">
        <f aca="false">Inputs!$G$54</f>
        <v>50</v>
      </c>
      <c r="H46" s="15" t="n">
        <f aca="false">Inputs!$H$54</f>
        <v>52</v>
      </c>
      <c r="I46" s="15" t="n">
        <f aca="false">Inputs!$I$54</f>
        <v>54</v>
      </c>
    </row>
    <row r="47" customFormat="false" ht="15" hidden="false" customHeight="false" outlineLevel="0" collapsed="false">
      <c r="B47" s="26" t="s">
        <v>220</v>
      </c>
      <c r="C47" s="20" t="s">
        <v>78</v>
      </c>
      <c r="D47" s="27" t="n">
        <f aca="false">D45-D46</f>
        <v>272.59</v>
      </c>
      <c r="E47" s="27" t="n">
        <f aca="false">E45-E46</f>
        <v>305.815</v>
      </c>
      <c r="F47" s="27" t="n">
        <f aca="false">F45-F46</f>
        <v>337.6</v>
      </c>
      <c r="G47" s="27" t="n">
        <f aca="false">G45-G46</f>
        <v>342.00528</v>
      </c>
      <c r="H47" s="27" t="n">
        <f aca="false">H45-H46</f>
        <v>357.0781586438</v>
      </c>
      <c r="I47" s="27" t="n">
        <f aca="false">I45-I46</f>
        <v>384.587653010848</v>
      </c>
    </row>
    <row r="48" customFormat="false" ht="15" hidden="false" customHeight="false" outlineLevel="0" collapsed="false">
      <c r="B48" s="9" t="s">
        <v>221</v>
      </c>
      <c r="C48" s="20" t="s">
        <v>206</v>
      </c>
      <c r="D48" s="14" t="n">
        <f aca="false">D47/D36</f>
        <v>0.139789743589744</v>
      </c>
      <c r="E48" s="14" t="n">
        <f aca="false">E47/E36</f>
        <v>0.147026442307692</v>
      </c>
      <c r="F48" s="14" t="n">
        <f aca="false">F47/F36</f>
        <v>0.153454545454545</v>
      </c>
      <c r="G48" s="14" t="n">
        <f aca="false">G47/G36</f>
        <v>0.151595666026606</v>
      </c>
      <c r="H48" s="14" t="n">
        <f aca="false">H47/H36</f>
        <v>0.152668436855375</v>
      </c>
      <c r="I48" s="14" t="n">
        <f aca="false">I47/I36</f>
        <v>0.157017981690724</v>
      </c>
    </row>
    <row r="49" customFormat="false" ht="15" hidden="false" customHeight="false" outlineLevel="0" collapsed="false">
      <c r="B49" s="9" t="s">
        <v>222</v>
      </c>
      <c r="C49" s="20" t="s">
        <v>78</v>
      </c>
      <c r="D49" s="15" t="n">
        <f aca="false">D36*Inputs!$D$80</f>
        <v>54.6</v>
      </c>
      <c r="E49" s="15" t="n">
        <f aca="false">E36*Inputs!$D$80</f>
        <v>58.24</v>
      </c>
      <c r="F49" s="15" t="n">
        <f aca="false">F36*Inputs!$D$80</f>
        <v>61.6</v>
      </c>
      <c r="G49" s="15" t="n">
        <f aca="false">G36*Inputs!$D$80</f>
        <v>63.169008</v>
      </c>
      <c r="H49" s="15" t="n">
        <f aca="false">H36*Inputs!$D$80</f>
        <v>65.4895579464</v>
      </c>
      <c r="I49" s="15" t="n">
        <f aca="false">I36*Inputs!$D$80</f>
        <v>68.5810259968453</v>
      </c>
    </row>
    <row r="50" customFormat="false" ht="15" hidden="false" customHeight="false" outlineLevel="0" collapsed="false">
      <c r="B50" s="9" t="s">
        <v>223</v>
      </c>
      <c r="C50" s="20" t="s">
        <v>78</v>
      </c>
      <c r="D50" s="15" t="n">
        <f aca="false">D47+D49</f>
        <v>327.19</v>
      </c>
      <c r="E50" s="15" t="n">
        <f aca="false">E47+E49</f>
        <v>364.055</v>
      </c>
      <c r="F50" s="15" t="n">
        <f aca="false">F47+F49</f>
        <v>399.2</v>
      </c>
      <c r="G50" s="15" t="n">
        <f aca="false">G47+G49</f>
        <v>405.174288</v>
      </c>
      <c r="H50" s="15" t="n">
        <f aca="false">H47+H49</f>
        <v>422.5677165902</v>
      </c>
      <c r="I50" s="15" t="n">
        <f aca="false">I47+I49</f>
        <v>453.168679007694</v>
      </c>
    </row>
    <row r="51" customFormat="false" ht="15" hidden="false" customHeight="false" outlineLevel="0" collapsed="false">
      <c r="B51" s="9" t="s">
        <v>42</v>
      </c>
      <c r="C51" s="20" t="s">
        <v>78</v>
      </c>
      <c r="D51" s="15" t="n">
        <f aca="false">Inputs!$D$18</f>
        <v>38</v>
      </c>
      <c r="E51" s="15" t="n">
        <f aca="false">Inputs!$E$18</f>
        <v>38</v>
      </c>
      <c r="F51" s="15" t="n">
        <f aca="false">Inputs!$F$18</f>
        <v>38</v>
      </c>
      <c r="G51" s="15" t="n">
        <f aca="false">Inputs!$G$55</f>
        <v>38</v>
      </c>
      <c r="H51" s="15" t="n">
        <f aca="false">Inputs!$H$55</f>
        <v>36</v>
      </c>
      <c r="I51" s="15" t="n">
        <f aca="false">Inputs!$I$55</f>
        <v>34</v>
      </c>
    </row>
    <row r="52" customFormat="false" ht="15" hidden="false" customHeight="false" outlineLevel="0" collapsed="false">
      <c r="B52" s="9" t="s">
        <v>43</v>
      </c>
      <c r="C52" s="20" t="s">
        <v>78</v>
      </c>
      <c r="D52" s="15" t="n">
        <f aca="false">Inputs!$D$19</f>
        <v>0</v>
      </c>
      <c r="E52" s="15" t="n">
        <f aca="false">Inputs!$E$19</f>
        <v>15</v>
      </c>
      <c r="F52" s="15" t="n">
        <f aca="false">Inputs!$F$19</f>
        <v>22</v>
      </c>
      <c r="G52" s="15" t="n">
        <f aca="false">Inputs!$G$56</f>
        <v>12</v>
      </c>
      <c r="H52" s="15" t="n">
        <f aca="false">Inputs!$H$56</f>
        <v>0</v>
      </c>
      <c r="I52" s="15" t="n">
        <f aca="false">Inputs!$I$56</f>
        <v>0</v>
      </c>
    </row>
    <row r="53" customFormat="false" ht="15" hidden="false" customHeight="false" outlineLevel="0" collapsed="false">
      <c r="B53" s="9" t="s">
        <v>224</v>
      </c>
      <c r="C53" s="20" t="s">
        <v>78</v>
      </c>
      <c r="D53" s="15" t="n">
        <f aca="false">D47-D51-D52</f>
        <v>234.59</v>
      </c>
      <c r="E53" s="15" t="n">
        <f aca="false">E47-E51-E52</f>
        <v>252.815</v>
      </c>
      <c r="F53" s="15" t="n">
        <f aca="false">F47-F51-F52</f>
        <v>277.6</v>
      </c>
      <c r="G53" s="15" t="n">
        <f aca="false">G47-G51-G52</f>
        <v>292.00528</v>
      </c>
      <c r="H53" s="15" t="n">
        <f aca="false">H47-H51-H52</f>
        <v>321.0781586438</v>
      </c>
      <c r="I53" s="15" t="n">
        <f aca="false">I47-I51-I52</f>
        <v>350.587653010848</v>
      </c>
    </row>
    <row r="54" customFormat="false" ht="15" hidden="false" customHeight="false" outlineLevel="0" collapsed="false">
      <c r="B54" s="18" t="s">
        <v>225</v>
      </c>
      <c r="C54" s="19"/>
      <c r="D54" s="19"/>
      <c r="E54" s="19"/>
      <c r="F54" s="19"/>
      <c r="G54" s="19"/>
      <c r="H54" s="19"/>
      <c r="I54" s="19"/>
    </row>
    <row r="55" customFormat="false" ht="15" hidden="false" customHeight="false" outlineLevel="0" collapsed="false">
      <c r="B55" s="9" t="s">
        <v>226</v>
      </c>
      <c r="C55" s="20" t="s">
        <v>78</v>
      </c>
      <c r="D55" s="15" t="n">
        <f aca="false">Inputs!$D$20</f>
        <v>58</v>
      </c>
      <c r="E55" s="15" t="n">
        <f aca="false">Inputs!$E$20</f>
        <v>55</v>
      </c>
      <c r="F55" s="15" t="n">
        <f aca="false">Inputs!$F$20</f>
        <v>52</v>
      </c>
      <c r="G55" s="15" t="n">
        <f aca="false">F78*Inputs!$D$83</f>
        <v>55</v>
      </c>
      <c r="H55" s="15" t="n">
        <f aca="false">G78*Inputs!$D$83</f>
        <v>50.70582792</v>
      </c>
      <c r="I55" s="15" t="n">
        <f aca="false">H78*Inputs!$D$83</f>
        <v>45.7241667980937</v>
      </c>
    </row>
    <row r="56" customFormat="false" ht="15" hidden="false" customHeight="false" outlineLevel="0" collapsed="false">
      <c r="B56" s="9" t="s">
        <v>227</v>
      </c>
      <c r="C56" s="20" t="s">
        <v>78</v>
      </c>
      <c r="D56" s="15" t="n">
        <f aca="false">D53-D55</f>
        <v>176.59</v>
      </c>
      <c r="E56" s="15" t="n">
        <f aca="false">E53-E55</f>
        <v>197.815</v>
      </c>
      <c r="F56" s="15" t="n">
        <f aca="false">F53-F55</f>
        <v>225.6</v>
      </c>
      <c r="G56" s="15" t="n">
        <f aca="false">G53-G55</f>
        <v>237.00528</v>
      </c>
      <c r="H56" s="15" t="n">
        <f aca="false">H53-H55</f>
        <v>270.3723307238</v>
      </c>
      <c r="I56" s="15" t="n">
        <f aca="false">I53-I55</f>
        <v>304.863486212755</v>
      </c>
    </row>
    <row r="57" customFormat="false" ht="15" hidden="false" customHeight="false" outlineLevel="0" collapsed="false">
      <c r="B57" s="9" t="s">
        <v>228</v>
      </c>
      <c r="C57" s="20" t="s">
        <v>78</v>
      </c>
      <c r="D57" s="15" t="n">
        <f aca="false">D56*Inputs!$D$79</f>
        <v>40.6157</v>
      </c>
      <c r="E57" s="15" t="n">
        <f aca="false">E56*Inputs!$D$79</f>
        <v>45.49745</v>
      </c>
      <c r="F57" s="15" t="n">
        <f aca="false">F56*Inputs!$D$79</f>
        <v>51.888</v>
      </c>
      <c r="G57" s="15" t="n">
        <f aca="false">G56*Inputs!$D$79</f>
        <v>54.5112144</v>
      </c>
      <c r="H57" s="15" t="n">
        <f aca="false">H56*Inputs!$D$79</f>
        <v>62.185636066474</v>
      </c>
      <c r="I57" s="15" t="n">
        <f aca="false">I56*Inputs!$D$79</f>
        <v>70.1186018289336</v>
      </c>
    </row>
    <row r="58" customFormat="false" ht="15" hidden="false" customHeight="false" outlineLevel="0" collapsed="false">
      <c r="B58" s="9" t="s">
        <v>229</v>
      </c>
      <c r="C58" s="20" t="s">
        <v>78</v>
      </c>
      <c r="D58" s="15" t="n">
        <f aca="false">D56-D57</f>
        <v>135.9743</v>
      </c>
      <c r="E58" s="15" t="n">
        <f aca="false">E56-E57</f>
        <v>152.31755</v>
      </c>
      <c r="F58" s="15" t="n">
        <f aca="false">F56-F57</f>
        <v>173.712</v>
      </c>
      <c r="G58" s="15" t="n">
        <f aca="false">G56-G57</f>
        <v>182.4940656</v>
      </c>
      <c r="H58" s="15" t="n">
        <f aca="false">H56-H57</f>
        <v>208.186694657326</v>
      </c>
      <c r="I58" s="15" t="n">
        <f aca="false">I56-I57</f>
        <v>234.744884383821</v>
      </c>
    </row>
    <row r="59" customFormat="false" ht="15" hidden="false" customHeight="false" outlineLevel="0" collapsed="false">
      <c r="B59" s="9" t="s">
        <v>230</v>
      </c>
      <c r="C59" s="20" t="s">
        <v>231</v>
      </c>
      <c r="D59" s="16" t="n">
        <f aca="false">Inputs!$D$21</f>
        <v>57</v>
      </c>
      <c r="E59" s="16" t="n">
        <f aca="false">Inputs!$E$21</f>
        <v>56.3</v>
      </c>
      <c r="F59" s="16" t="n">
        <f aca="false">Inputs!$F$21</f>
        <v>55.6</v>
      </c>
      <c r="G59" s="16" t="n">
        <f aca="false">Inputs!$G$57</f>
        <v>55</v>
      </c>
      <c r="H59" s="16" t="n">
        <f aca="false">Inputs!$H$57</f>
        <v>54.4</v>
      </c>
      <c r="I59" s="16" t="n">
        <f aca="false">Inputs!$I$57</f>
        <v>53.8</v>
      </c>
    </row>
    <row r="60" customFormat="false" ht="15" hidden="false" customHeight="false" outlineLevel="0" collapsed="false">
      <c r="B60" s="26" t="s">
        <v>232</v>
      </c>
      <c r="C60" s="20" t="s">
        <v>61</v>
      </c>
      <c r="D60" s="28" t="n">
        <f aca="false">D58/D59</f>
        <v>2.38551403508772</v>
      </c>
      <c r="E60" s="28" t="n">
        <f aca="false">E58/E59</f>
        <v>2.70546269982238</v>
      </c>
      <c r="F60" s="28" t="n">
        <f aca="false">F58/F59</f>
        <v>3.12431654676259</v>
      </c>
      <c r="G60" s="28" t="n">
        <f aca="false">G58/G59</f>
        <v>3.31807392</v>
      </c>
      <c r="H60" s="28" t="n">
        <f aca="false">H58/H59</f>
        <v>3.8269612988479</v>
      </c>
      <c r="I60" s="28" t="n">
        <f aca="false">I58/I59</f>
        <v>4.36328781382567</v>
      </c>
    </row>
    <row r="61" customFormat="false" ht="15" hidden="false" customHeight="false" outlineLevel="0" collapsed="false">
      <c r="B61" s="18" t="s">
        <v>233</v>
      </c>
      <c r="C61" s="19"/>
      <c r="D61" s="19"/>
      <c r="E61" s="19"/>
      <c r="F61" s="19"/>
      <c r="G61" s="19"/>
      <c r="H61" s="19"/>
      <c r="I61" s="19"/>
    </row>
    <row r="62" customFormat="false" ht="15" hidden="false" customHeight="false" outlineLevel="0" collapsed="false">
      <c r="B62" s="9" t="s">
        <v>234</v>
      </c>
      <c r="C62" s="20" t="s">
        <v>61</v>
      </c>
      <c r="D62" s="17" t="n">
        <f aca="false">D51*(1-Inputs!$D$79)/D59</f>
        <v>0.513333333333333</v>
      </c>
      <c r="E62" s="17" t="n">
        <f aca="false">E51*(1-Inputs!$D$79)/E59</f>
        <v>0.519715808170515</v>
      </c>
      <c r="F62" s="17" t="n">
        <f aca="false">F51*(1-Inputs!$D$79)/F59</f>
        <v>0.526258992805755</v>
      </c>
      <c r="G62" s="17" t="n">
        <f aca="false">G51*(1-Inputs!$D$79)/G59</f>
        <v>0.532</v>
      </c>
      <c r="H62" s="17" t="n">
        <f aca="false">H51*(1-Inputs!$D$79)/H59</f>
        <v>0.509558823529412</v>
      </c>
      <c r="I62" s="17" t="n">
        <f aca="false">I51*(1-Inputs!$D$79)/I59</f>
        <v>0.486617100371747</v>
      </c>
    </row>
    <row r="63" customFormat="false" ht="15" hidden="false" customHeight="false" outlineLevel="0" collapsed="false">
      <c r="B63" s="9" t="s">
        <v>235</v>
      </c>
      <c r="C63" s="20" t="s">
        <v>61</v>
      </c>
      <c r="D63" s="17" t="n">
        <f aca="false">D52*(1-Inputs!$D$79)/D59</f>
        <v>0</v>
      </c>
      <c r="E63" s="17" t="n">
        <f aca="false">E52*(1-Inputs!$D$79)/E59</f>
        <v>0.205150976909414</v>
      </c>
      <c r="F63" s="17" t="n">
        <f aca="false">F52*(1-Inputs!$D$79)/F59</f>
        <v>0.304676258992806</v>
      </c>
      <c r="G63" s="17" t="n">
        <f aca="false">G52*(1-Inputs!$D$79)/G59</f>
        <v>0.168</v>
      </c>
      <c r="H63" s="17" t="n">
        <f aca="false">H52*(1-Inputs!$D$79)/H59</f>
        <v>0</v>
      </c>
      <c r="I63" s="17" t="n">
        <f aca="false">I52*(1-Inputs!$D$79)/I59</f>
        <v>0</v>
      </c>
    </row>
    <row r="64" customFormat="false" ht="15" hidden="false" customHeight="false" outlineLevel="0" collapsed="false">
      <c r="B64" s="9" t="s">
        <v>236</v>
      </c>
      <c r="C64" s="20" t="s">
        <v>78</v>
      </c>
      <c r="D64" s="15" t="n">
        <f aca="false">(D51+D52)*(1-Inputs!$D$79)</f>
        <v>29.26</v>
      </c>
      <c r="E64" s="15" t="n">
        <f aca="false">(E51+E52)*(1-Inputs!$D$79)</f>
        <v>40.81</v>
      </c>
      <c r="F64" s="15" t="n">
        <f aca="false">(F51+F52)*(1-Inputs!$D$79)</f>
        <v>46.2</v>
      </c>
      <c r="G64" s="15" t="n">
        <f aca="false">(G51+G52)*(1-Inputs!$D$79)</f>
        <v>38.5</v>
      </c>
      <c r="H64" s="15" t="n">
        <f aca="false">(H51+H52)*(1-Inputs!$D$79)</f>
        <v>27.72</v>
      </c>
      <c r="I64" s="15" t="n">
        <f aca="false">(I51+I52)*(1-Inputs!$D$79)</f>
        <v>26.18</v>
      </c>
    </row>
    <row r="65" customFormat="false" ht="15" hidden="false" customHeight="false" outlineLevel="0" collapsed="false">
      <c r="B65" s="9" t="s">
        <v>237</v>
      </c>
      <c r="C65" s="20" t="s">
        <v>78</v>
      </c>
      <c r="D65" s="15" t="n">
        <f aca="false">D58+D64</f>
        <v>165.2343</v>
      </c>
      <c r="E65" s="15" t="n">
        <f aca="false">E58+E64</f>
        <v>193.12755</v>
      </c>
      <c r="F65" s="15" t="n">
        <f aca="false">F58+F64</f>
        <v>219.912</v>
      </c>
      <c r="G65" s="15" t="n">
        <f aca="false">G58+G64</f>
        <v>220.9940656</v>
      </c>
      <c r="H65" s="15" t="n">
        <f aca="false">H58+H64</f>
        <v>235.906694657326</v>
      </c>
      <c r="I65" s="15" t="n">
        <f aca="false">I58+I64</f>
        <v>260.924884383821</v>
      </c>
    </row>
    <row r="66" customFormat="false" ht="15" hidden="false" customHeight="false" outlineLevel="0" collapsed="false">
      <c r="B66" s="26" t="s">
        <v>238</v>
      </c>
      <c r="C66" s="20" t="s">
        <v>61</v>
      </c>
      <c r="D66" s="28" t="n">
        <f aca="false">D65/D59</f>
        <v>2.89884736842105</v>
      </c>
      <c r="E66" s="28" t="n">
        <f aca="false">E65/E59</f>
        <v>3.43032948490231</v>
      </c>
      <c r="F66" s="28" t="n">
        <f aca="false">F65/F59</f>
        <v>3.95525179856115</v>
      </c>
      <c r="G66" s="28" t="n">
        <f aca="false">G65/G59</f>
        <v>4.01807392</v>
      </c>
      <c r="H66" s="28" t="n">
        <f aca="false">H65/H59</f>
        <v>4.33652012237732</v>
      </c>
      <c r="I66" s="28" t="n">
        <f aca="false">I65/I59</f>
        <v>4.84990491419742</v>
      </c>
    </row>
    <row r="67" customFormat="false" ht="15" hidden="false" customHeight="false" outlineLevel="0" collapsed="false">
      <c r="B67" s="9" t="s">
        <v>239</v>
      </c>
      <c r="C67" s="20" t="s">
        <v>206</v>
      </c>
      <c r="D67" s="9"/>
      <c r="E67" s="14" t="n">
        <f aca="false">E66/D66-1</f>
        <v>0.183342566521791</v>
      </c>
      <c r="F67" s="14" t="n">
        <f aca="false">F66/E66-1</f>
        <v>0.153023875977264</v>
      </c>
      <c r="G67" s="14" t="n">
        <f aca="false">G66/F66-1</f>
        <v>0.0158832167048635</v>
      </c>
      <c r="H67" s="14" t="n">
        <f aca="false">H66/G66-1</f>
        <v>0.0792534454859697</v>
      </c>
      <c r="I67" s="14" t="n">
        <f aca="false">I66/H66-1</f>
        <v>0.118386350652666</v>
      </c>
    </row>
    <row r="68" customFormat="false" ht="15" hidden="false" customHeight="false" outlineLevel="0" collapsed="false">
      <c r="B68" s="9" t="s">
        <v>240</v>
      </c>
      <c r="C68" s="20" t="s">
        <v>206</v>
      </c>
      <c r="D68" s="14" t="n">
        <f aca="false">D66/D60-1</f>
        <v>0.215187722974121</v>
      </c>
      <c r="E68" s="14" t="n">
        <f aca="false">E66/E60-1</f>
        <v>0.267927103606906</v>
      </c>
      <c r="F68" s="14" t="n">
        <f aca="false">F66/F60-1</f>
        <v>0.265957446808511</v>
      </c>
      <c r="G68" s="14" t="n">
        <f aca="false">G66/G60-1</f>
        <v>0.21096576413825</v>
      </c>
      <c r="H68" s="14" t="n">
        <f aca="false">H66/H60-1</f>
        <v>0.133149719513185</v>
      </c>
      <c r="I68" s="14" t="n">
        <f aca="false">I66/I60-1</f>
        <v>0.111525327032023</v>
      </c>
    </row>
    <row r="69" customFormat="false" ht="15" hidden="false" customHeight="false" outlineLevel="0" collapsed="false">
      <c r="B69" s="18" t="s">
        <v>241</v>
      </c>
      <c r="C69" s="19"/>
      <c r="D69" s="19"/>
      <c r="E69" s="19"/>
      <c r="F69" s="19"/>
      <c r="G69" s="19"/>
      <c r="H69" s="19"/>
      <c r="I69" s="19"/>
    </row>
    <row r="70" customFormat="false" ht="15" hidden="false" customHeight="false" outlineLevel="0" collapsed="false">
      <c r="B70" s="9" t="s">
        <v>242</v>
      </c>
      <c r="C70" s="20" t="s">
        <v>78</v>
      </c>
      <c r="D70" s="15" t="n">
        <f aca="false">D36*Inputs!$D$81</f>
        <v>62.4</v>
      </c>
      <c r="E70" s="15" t="n">
        <f aca="false">E36*Inputs!$D$81</f>
        <v>66.56</v>
      </c>
      <c r="F70" s="15" t="n">
        <f aca="false">F36*Inputs!$D$81</f>
        <v>70.4</v>
      </c>
      <c r="G70" s="15" t="n">
        <f aca="false">G36*Inputs!$D$81</f>
        <v>72.193152</v>
      </c>
      <c r="H70" s="15" t="n">
        <f aca="false">H36*Inputs!$D$81</f>
        <v>74.8452090816</v>
      </c>
      <c r="I70" s="15" t="n">
        <f aca="false">I36*Inputs!$D$81</f>
        <v>78.3783154249661</v>
      </c>
    </row>
    <row r="71" customFormat="false" ht="15" hidden="false" customHeight="false" outlineLevel="0" collapsed="false">
      <c r="B71" s="9" t="s">
        <v>243</v>
      </c>
      <c r="C71" s="20" t="s">
        <v>78</v>
      </c>
      <c r="D71" s="15" t="n">
        <f aca="false">(D36-(Inputs!$C$5+Inputs!$C$6+Inputs!$C$7))*Inputs!$D$82</f>
        <v>24.3</v>
      </c>
      <c r="E71" s="15" t="n">
        <f aca="false">(E36-D36)*Inputs!$D$82</f>
        <v>23.4</v>
      </c>
      <c r="F71" s="15" t="n">
        <f aca="false">(F36-E36)*Inputs!$D$82</f>
        <v>21.6</v>
      </c>
      <c r="G71" s="15" t="n">
        <f aca="false">(G36-F36)*Inputs!$D$82</f>
        <v>10.0864799999999</v>
      </c>
      <c r="H71" s="15" t="n">
        <f aca="false">(H36-G36)*Inputs!$D$82</f>
        <v>14.9178210840001</v>
      </c>
      <c r="I71" s="15" t="n">
        <f aca="false">(I36-H36)*Inputs!$D$82</f>
        <v>19.8737231814342</v>
      </c>
    </row>
    <row r="72" customFormat="false" ht="15" hidden="false" customHeight="false" outlineLevel="0" collapsed="false">
      <c r="B72" s="26" t="s">
        <v>244</v>
      </c>
      <c r="C72" s="20" t="s">
        <v>78</v>
      </c>
      <c r="D72" s="27" t="n">
        <f aca="false">D58+D49+D51-D70-D71</f>
        <v>141.8743</v>
      </c>
      <c r="E72" s="27" t="n">
        <f aca="false">E58+E49+E51-E70-E71</f>
        <v>158.59755</v>
      </c>
      <c r="F72" s="27" t="n">
        <f aca="false">F58+F49+F51-F70-F71</f>
        <v>181.312</v>
      </c>
      <c r="G72" s="27" t="n">
        <f aca="false">G58+G49+G51-G70-G71</f>
        <v>201.3834416</v>
      </c>
      <c r="H72" s="27" t="n">
        <f aca="false">H58+H49+H51-H70-H71</f>
        <v>219.913222438126</v>
      </c>
      <c r="I72" s="27" t="n">
        <f aca="false">I58+I49+I51-I70-I71</f>
        <v>239.073871774266</v>
      </c>
    </row>
    <row r="73" customFormat="false" ht="15" hidden="false" customHeight="false" outlineLevel="0" collapsed="false">
      <c r="B73" s="9" t="s">
        <v>245</v>
      </c>
      <c r="C73" s="20" t="s">
        <v>206</v>
      </c>
      <c r="D73" s="29" t="n">
        <f aca="false">D72/D65</f>
        <v>0.85862499493144</v>
      </c>
      <c r="E73" s="29" t="n">
        <f aca="false">E72/E65</f>
        <v>0.821206244267066</v>
      </c>
      <c r="F73" s="29" t="n">
        <f aca="false">F72/F65</f>
        <v>0.824475244643312</v>
      </c>
      <c r="G73" s="29" t="n">
        <f aca="false">G72/G65</f>
        <v>0.911261761953847</v>
      </c>
      <c r="H73" s="29" t="n">
        <f aca="false">H72/H65</f>
        <v>0.932204246079443</v>
      </c>
      <c r="I73" s="29" t="n">
        <f aca="false">I72/I65</f>
        <v>0.916255543578542</v>
      </c>
    </row>
    <row r="74" customFormat="false" ht="15" hidden="false" customHeight="false" outlineLevel="0" collapsed="false">
      <c r="B74" s="9" t="s">
        <v>246</v>
      </c>
      <c r="C74" s="20" t="s">
        <v>61</v>
      </c>
      <c r="D74" s="17" t="n">
        <f aca="false">D72/D59</f>
        <v>2.48902280701754</v>
      </c>
      <c r="E74" s="17" t="n">
        <f aca="false">E72/E59</f>
        <v>2.81700799289521</v>
      </c>
      <c r="F74" s="17" t="n">
        <f aca="false">F72/F59</f>
        <v>3.2610071942446</v>
      </c>
      <c r="G74" s="17" t="n">
        <f aca="false">G72/G59</f>
        <v>3.66151712</v>
      </c>
      <c r="H74" s="17" t="n">
        <f aca="false">H72/H59</f>
        <v>4.04252247128908</v>
      </c>
      <c r="I74" s="17" t="n">
        <f aca="false">I72/I59</f>
        <v>4.44375226346219</v>
      </c>
    </row>
    <row r="75" customFormat="false" ht="15" hidden="false" customHeight="false" outlineLevel="0" collapsed="false">
      <c r="B75" s="9" t="s">
        <v>247</v>
      </c>
      <c r="C75" s="20" t="s">
        <v>61</v>
      </c>
      <c r="D75" s="17" t="n">
        <f aca="false">Inputs!$D$22</f>
        <v>0.9</v>
      </c>
      <c r="E75" s="17" t="n">
        <f aca="false">Inputs!$E$22</f>
        <v>0.96</v>
      </c>
      <c r="F75" s="17" t="n">
        <f aca="false">Inputs!$F$22</f>
        <v>1.02</v>
      </c>
      <c r="G75" s="17" t="n">
        <f aca="false">Inputs!$G$58</f>
        <v>1.1</v>
      </c>
      <c r="H75" s="17" t="n">
        <f aca="false">Inputs!$H$58</f>
        <v>1.2</v>
      </c>
      <c r="I75" s="17" t="n">
        <f aca="false">Inputs!$I$58</f>
        <v>1.3</v>
      </c>
    </row>
    <row r="76" customFormat="false" ht="15" hidden="false" customHeight="false" outlineLevel="0" collapsed="false">
      <c r="B76" s="9" t="s">
        <v>248</v>
      </c>
      <c r="C76" s="20" t="s">
        <v>78</v>
      </c>
      <c r="D76" s="15" t="n">
        <f aca="false">D75*D59</f>
        <v>51.3</v>
      </c>
      <c r="E76" s="15" t="n">
        <f aca="false">E75*E59</f>
        <v>54.048</v>
      </c>
      <c r="F76" s="15" t="n">
        <f aca="false">F75*F59</f>
        <v>56.712</v>
      </c>
      <c r="G76" s="15" t="n">
        <f aca="false">G75*G59</f>
        <v>60.5</v>
      </c>
      <c r="H76" s="15" t="n">
        <f aca="false">H75*H59</f>
        <v>65.28</v>
      </c>
      <c r="I76" s="15" t="n">
        <f aca="false">I75*I59</f>
        <v>69.94</v>
      </c>
    </row>
    <row r="77" customFormat="false" ht="15" hidden="false" customHeight="false" outlineLevel="0" collapsed="false">
      <c r="B77" s="9" t="s">
        <v>48</v>
      </c>
      <c r="C77" s="20" t="s">
        <v>78</v>
      </c>
      <c r="D77" s="9"/>
      <c r="E77" s="9"/>
      <c r="F77" s="9"/>
      <c r="G77" s="15" t="n">
        <f aca="false">Inputs!$G$59</f>
        <v>55</v>
      </c>
      <c r="H77" s="15" t="n">
        <f aca="false">Inputs!$H$59</f>
        <v>55</v>
      </c>
      <c r="I77" s="15" t="n">
        <f aca="false">Inputs!$I$59</f>
        <v>55</v>
      </c>
    </row>
    <row r="78" customFormat="false" ht="15" hidden="false" customHeight="false" outlineLevel="0" collapsed="false">
      <c r="B78" s="26" t="s">
        <v>249</v>
      </c>
      <c r="C78" s="20" t="s">
        <v>78</v>
      </c>
      <c r="D78" s="27" t="n">
        <f aca="false">Inputs!$D$23</f>
        <v>1210</v>
      </c>
      <c r="E78" s="27" t="n">
        <f aca="false">Inputs!$E$23</f>
        <v>1160</v>
      </c>
      <c r="F78" s="27" t="n">
        <f aca="false">Inputs!$F$23</f>
        <v>1100</v>
      </c>
      <c r="G78" s="27" t="n">
        <f aca="false">F78-G72+G76+G77</f>
        <v>1014.1165584</v>
      </c>
      <c r="H78" s="27" t="n">
        <f aca="false">G78-H72+H76+H77</f>
        <v>914.483335961874</v>
      </c>
      <c r="I78" s="27" t="n">
        <f aca="false">H78-I72+I76+I77</f>
        <v>800.349464187608</v>
      </c>
    </row>
    <row r="79" customFormat="false" ht="15" hidden="false" customHeight="false" outlineLevel="0" collapsed="false">
      <c r="B79" s="9" t="s">
        <v>250</v>
      </c>
      <c r="C79" s="20" t="s">
        <v>251</v>
      </c>
      <c r="D79" s="30" t="n">
        <f aca="false">D78/D50</f>
        <v>3.69815703413918</v>
      </c>
      <c r="E79" s="30" t="n">
        <f aca="false">E78/E50</f>
        <v>3.1863317355894</v>
      </c>
      <c r="F79" s="30" t="n">
        <f aca="false">F78/F50</f>
        <v>2.75551102204409</v>
      </c>
      <c r="G79" s="30" t="n">
        <f aca="false">G78/G50</f>
        <v>2.50291439618696</v>
      </c>
      <c r="H79" s="30" t="n">
        <f aca="false">H78/H50</f>
        <v>2.16411074499742</v>
      </c>
      <c r="I79" s="30" t="n">
        <f aca="false">I78/I50</f>
        <v>1.76611822763245</v>
      </c>
    </row>
    <row r="80" customFormat="false" ht="15" hidden="false" customHeight="false" outlineLevel="0" collapsed="false">
      <c r="B80" s="9" t="s">
        <v>252</v>
      </c>
      <c r="C80" s="20" t="s">
        <v>78</v>
      </c>
      <c r="D80" s="15" t="n">
        <f aca="false">D53*(1-Inputs!$D$79)+D49+D51-D70-D71</f>
        <v>186.5343</v>
      </c>
      <c r="E80" s="15" t="n">
        <f aca="false">E53*(1-Inputs!$D$79)+E49+E51-E70-E71</f>
        <v>200.94755</v>
      </c>
      <c r="F80" s="15" t="n">
        <f aca="false">F53*(1-Inputs!$D$79)+F49+F51-F70-F71</f>
        <v>221.352</v>
      </c>
      <c r="G80" s="15" t="n">
        <f aca="false">G53*(1-Inputs!$D$79)+G49+G51-G70-G71</f>
        <v>243.7334416</v>
      </c>
      <c r="H80" s="15" t="n">
        <f aca="false">H53*(1-Inputs!$D$79)+H49+H51-H70-H71</f>
        <v>258.956709936526</v>
      </c>
      <c r="I80" s="15" t="n">
        <f aca="false">I53*(1-Inputs!$D$79)+I49+I51-I70-I71</f>
        <v>274.281480208798</v>
      </c>
    </row>
    <row r="81" customFormat="false" ht="15" hidden="false" customHeight="false" outlineLevel="0" collapsed="false">
      <c r="B81" s="18" t="s">
        <v>253</v>
      </c>
      <c r="C81" s="19"/>
      <c r="D81" s="19"/>
      <c r="E81" s="19"/>
      <c r="F81" s="19"/>
      <c r="G81" s="19"/>
      <c r="H81" s="19"/>
      <c r="I81" s="19"/>
    </row>
    <row r="82" customFormat="false" ht="15" hidden="false" customHeight="false" outlineLevel="0" collapsed="false">
      <c r="B82" s="9" t="s">
        <v>254</v>
      </c>
      <c r="C82" s="20" t="s">
        <v>206</v>
      </c>
      <c r="D82" s="9"/>
      <c r="E82" s="14" t="n">
        <f aca="false">(E40-D40)/(E27-D27)</f>
        <v>0.241555555555556</v>
      </c>
      <c r="F82" s="14" t="n">
        <f aca="false">(F40-E40)/(F27-E27)</f>
        <v>0.254</v>
      </c>
      <c r="G82" s="14" t="n">
        <f aca="false">(G40-F40)/(G27-F27)</f>
        <v>1.16747826086956</v>
      </c>
      <c r="H82" s="14" t="n">
        <f aca="false">(H40-G40)/(H27-G27)</f>
        <v>-0.0820816326530606</v>
      </c>
      <c r="I82" s="14" t="n">
        <f aca="false">(I40-H40)/(I27-H27)</f>
        <v>0.258450331125828</v>
      </c>
    </row>
    <row r="83" customFormat="false" ht="15" hidden="false" customHeight="false" outlineLevel="0" collapsed="false">
      <c r="B83" s="9" t="s">
        <v>255</v>
      </c>
      <c r="C83" s="20" t="s">
        <v>206</v>
      </c>
      <c r="D83" s="9"/>
      <c r="E83" s="14" t="n">
        <f aca="false">(E42-D42)/(E31-D31)</f>
        <v>0.280090909090909</v>
      </c>
      <c r="F83" s="14" t="n">
        <f aca="false">(F42-E42)/(F31-E31)</f>
        <v>0.284454545454545</v>
      </c>
      <c r="G83" s="14" t="n">
        <f aca="false">(G42-F42)/(G31-F31)</f>
        <v>0.21</v>
      </c>
      <c r="H83" s="14" t="n">
        <f aca="false">(H42-G42)/(H31-G31)</f>
        <v>0.244854209445585</v>
      </c>
      <c r="I83" s="14" t="n">
        <f aca="false">(I42-H42)/(I31-H31)</f>
        <v>0.281789473684211</v>
      </c>
    </row>
    <row r="84" customFormat="false" ht="15" hidden="false" customHeight="false" outlineLevel="0" collapsed="false">
      <c r="B84" s="9" t="s">
        <v>256</v>
      </c>
      <c r="C84" s="20" t="s">
        <v>206</v>
      </c>
      <c r="D84" s="9"/>
      <c r="E84" s="14" t="n">
        <f aca="false">(E44-D44)/(E35-D35)</f>
        <v>0.298333333333333</v>
      </c>
      <c r="F84" s="14" t="n">
        <f aca="false">(F44-E44)/(F35-E35)</f>
        <v>0.308333333333333</v>
      </c>
      <c r="G84" s="14" t="n">
        <f aca="false">(G44-F44)/(G35-F35)</f>
        <v>0.24</v>
      </c>
      <c r="H84" s="14" t="n">
        <f aca="false">(H44-G44)/(H35-G35)</f>
        <v>0.256140045420137</v>
      </c>
      <c r="I84" s="14" t="n">
        <f aca="false">(I44-H44)/(I35-H35)</f>
        <v>0.257140045420136</v>
      </c>
    </row>
    <row r="85" customFormat="false" ht="15" hidden="false" customHeight="false" outlineLevel="0" collapsed="false">
      <c r="B85" s="9" t="s">
        <v>257</v>
      </c>
      <c r="C85" s="20" t="s">
        <v>206</v>
      </c>
      <c r="D85" s="9"/>
      <c r="E85" s="14" t="n">
        <f aca="false">(E47-D47)/(E36-D36)</f>
        <v>0.255576923076923</v>
      </c>
      <c r="F85" s="14" t="n">
        <f aca="false">(F47-E47)/(F36-E36)</f>
        <v>0.264875</v>
      </c>
      <c r="G85" s="14" t="n">
        <f aca="false">(G47-F47)/(G36-F36)</f>
        <v>0.0786151759583121</v>
      </c>
      <c r="H85" s="14" t="n">
        <f aca="false">(H47-G47)/(H36-G36)</f>
        <v>0.181870940843628</v>
      </c>
      <c r="I85" s="14" t="n">
        <f aca="false">(I47-H47)/(I36-H36)</f>
        <v>0.249158597051132</v>
      </c>
    </row>
    <row r="87" customFormat="false" ht="15" hidden="false" customHeight="false" outlineLevel="0" collapsed="false">
      <c r="B87" s="7" t="s">
        <v>294</v>
      </c>
      <c r="C87" s="8"/>
      <c r="D87" s="8" t="s">
        <v>23</v>
      </c>
      <c r="E87" s="8" t="s">
        <v>24</v>
      </c>
      <c r="F87" s="8" t="s">
        <v>25</v>
      </c>
      <c r="G87" s="8" t="s">
        <v>26</v>
      </c>
      <c r="H87" s="8" t="s">
        <v>27</v>
      </c>
      <c r="I87" s="8" t="s">
        <v>28</v>
      </c>
    </row>
    <row r="88" customFormat="false" ht="15" hidden="false" customHeight="false" outlineLevel="0" collapsed="false">
      <c r="B88" s="18" t="s">
        <v>205</v>
      </c>
      <c r="C88" s="19"/>
      <c r="D88" s="19"/>
      <c r="E88" s="19"/>
      <c r="F88" s="19"/>
      <c r="G88" s="19"/>
      <c r="H88" s="19"/>
      <c r="I88" s="19"/>
    </row>
    <row r="89" customFormat="false" ht="15" hidden="false" customHeight="false" outlineLevel="0" collapsed="false">
      <c r="B89" s="9" t="s">
        <v>32</v>
      </c>
      <c r="C89" s="20" t="s">
        <v>206</v>
      </c>
      <c r="D89" s="14" t="n">
        <f aca="false">(1+D91)/(1+D90)-1</f>
        <v>0.0103708741165327</v>
      </c>
      <c r="E89" s="14" t="n">
        <f aca="false">(1+E91)/(1+E90)-1</f>
        <v>0.0128827483196416</v>
      </c>
      <c r="F89" s="14" t="n">
        <f aca="false">(1+F91)/(1+F90)-1</f>
        <v>0.00708103855232101</v>
      </c>
      <c r="G89" s="14" t="n">
        <f aca="false">Inputs!$G$62</f>
        <v>0.03</v>
      </c>
      <c r="H89" s="14" t="n">
        <f aca="false">Inputs!$H$62</f>
        <v>0.035</v>
      </c>
      <c r="I89" s="14" t="n">
        <f aca="false">Inputs!$I$62</f>
        <v>0.035</v>
      </c>
    </row>
    <row r="90" customFormat="false" ht="15" hidden="false" customHeight="false" outlineLevel="0" collapsed="false">
      <c r="B90" s="9" t="s">
        <v>35</v>
      </c>
      <c r="C90" s="20" t="s">
        <v>206</v>
      </c>
      <c r="D90" s="14" t="n">
        <f aca="false">Inputs!$D$11</f>
        <v>0.045</v>
      </c>
      <c r="E90" s="14" t="n">
        <f aca="false">Inputs!$E$11</f>
        <v>0.03</v>
      </c>
      <c r="F90" s="14" t="n">
        <f aca="false">Inputs!$F$11</f>
        <v>0.025</v>
      </c>
      <c r="G90" s="14" t="n">
        <f aca="false">Inputs!$G$65</f>
        <v>0.025</v>
      </c>
      <c r="H90" s="14" t="n">
        <f aca="false">Inputs!$H$65</f>
        <v>0.02</v>
      </c>
      <c r="I90" s="14" t="n">
        <f aca="false">Inputs!$I$65</f>
        <v>0.02</v>
      </c>
    </row>
    <row r="91" customFormat="false" ht="15" hidden="false" customHeight="false" outlineLevel="0" collapsed="false">
      <c r="B91" s="9" t="s">
        <v>207</v>
      </c>
      <c r="C91" s="20" t="s">
        <v>206</v>
      </c>
      <c r="D91" s="14" t="n">
        <f aca="false">D92/Inputs!$C$5-1</f>
        <v>0.0558375634517767</v>
      </c>
      <c r="E91" s="14" t="n">
        <f aca="false">E92/D92-1</f>
        <v>0.0432692307692308</v>
      </c>
      <c r="F91" s="14" t="n">
        <f aca="false">F92/E92-1</f>
        <v>0.032258064516129</v>
      </c>
      <c r="G91" s="14" t="n">
        <f aca="false">(1+G89)*(1+G90)-1</f>
        <v>0.05575</v>
      </c>
      <c r="H91" s="14" t="n">
        <f aca="false">(1+H89)*(1+H90)-1</f>
        <v>0.0556999999999999</v>
      </c>
      <c r="I91" s="14" t="n">
        <f aca="false">(1+I89)*(1+I90)-1</f>
        <v>0.0556999999999999</v>
      </c>
    </row>
    <row r="92" customFormat="false" ht="15" hidden="false" customHeight="false" outlineLevel="0" collapsed="false">
      <c r="B92" s="9" t="s">
        <v>208</v>
      </c>
      <c r="C92" s="20" t="s">
        <v>78</v>
      </c>
      <c r="D92" s="15" t="n">
        <f aca="false">Inputs!$D$5</f>
        <v>1040</v>
      </c>
      <c r="E92" s="15" t="n">
        <f aca="false">Inputs!$E$5</f>
        <v>1085</v>
      </c>
      <c r="F92" s="15" t="n">
        <f aca="false">Inputs!$F$5</f>
        <v>1120</v>
      </c>
      <c r="G92" s="15" t="n">
        <f aca="false">F92*(1+G91)</f>
        <v>1182.44</v>
      </c>
      <c r="H92" s="15" t="n">
        <f aca="false">G92*(1+H91)</f>
        <v>1248.301908</v>
      </c>
      <c r="I92" s="15" t="n">
        <f aca="false">H92*(1+I91)</f>
        <v>1317.8323242756</v>
      </c>
    </row>
    <row r="93" customFormat="false" ht="15" hidden="false" customHeight="false" outlineLevel="0" collapsed="false">
      <c r="B93" s="9" t="s">
        <v>33</v>
      </c>
      <c r="C93" s="20" t="s">
        <v>206</v>
      </c>
      <c r="D93" s="14" t="n">
        <f aca="false">(1+D95)/(1+D94)-1</f>
        <v>0.0661409719987125</v>
      </c>
      <c r="E93" s="14" t="n">
        <f aca="false">(1+E95)/(1+E94)-1</f>
        <v>0.0716248397142334</v>
      </c>
      <c r="F93" s="14" t="n">
        <f aca="false">(1+F95)/(1+F94)-1</f>
        <v>0.0673337502605798</v>
      </c>
      <c r="G93" s="14" t="n">
        <f aca="false">Inputs!$G$63</f>
        <v>0.085</v>
      </c>
      <c r="H93" s="14" t="n">
        <f aca="false">Inputs!$H$63</f>
        <v>0.085</v>
      </c>
      <c r="I93" s="14" t="n">
        <f aca="false">Inputs!$I$63</f>
        <v>0.075</v>
      </c>
    </row>
    <row r="94" customFormat="false" ht="15" hidden="false" customHeight="false" outlineLevel="0" collapsed="false">
      <c r="B94" s="9" t="s">
        <v>36</v>
      </c>
      <c r="C94" s="20" t="s">
        <v>206</v>
      </c>
      <c r="D94" s="14" t="n">
        <f aca="false">Inputs!$D$12</f>
        <v>0.04</v>
      </c>
      <c r="E94" s="14" t="n">
        <f aca="false">Inputs!$E$12</f>
        <v>0.03</v>
      </c>
      <c r="F94" s="14" t="n">
        <f aca="false">Inputs!$F$12</f>
        <v>0.025</v>
      </c>
      <c r="G94" s="14" t="n">
        <f aca="false">Inputs!$G$66</f>
        <v>0.025</v>
      </c>
      <c r="H94" s="14" t="n">
        <f aca="false">Inputs!$H$66</f>
        <v>0.025</v>
      </c>
      <c r="I94" s="14" t="n">
        <f aca="false">Inputs!$I$66</f>
        <v>0.02</v>
      </c>
    </row>
    <row r="95" customFormat="false" ht="15" hidden="false" customHeight="false" outlineLevel="0" collapsed="false">
      <c r="B95" s="9" t="s">
        <v>209</v>
      </c>
      <c r="C95" s="20" t="s">
        <v>206</v>
      </c>
      <c r="D95" s="14" t="n">
        <f aca="false">D96/Inputs!$C$6-1</f>
        <v>0.108786610878661</v>
      </c>
      <c r="E95" s="14" t="n">
        <f aca="false">E96/D96-1</f>
        <v>0.10377358490566</v>
      </c>
      <c r="F95" s="14" t="n">
        <f aca="false">F96/E96-1</f>
        <v>0.0940170940170941</v>
      </c>
      <c r="G95" s="14" t="n">
        <f aca="false">(1+G93)*(1+G94)-1</f>
        <v>0.112125</v>
      </c>
      <c r="H95" s="14" t="n">
        <f aca="false">(1+H93)*(1+H94)-1</f>
        <v>0.112125</v>
      </c>
      <c r="I95" s="14" t="n">
        <f aca="false">(1+I93)*(1+I94)-1</f>
        <v>0.0965</v>
      </c>
    </row>
    <row r="96" customFormat="false" ht="15" hidden="false" customHeight="false" outlineLevel="0" collapsed="false">
      <c r="B96" s="9" t="s">
        <v>210</v>
      </c>
      <c r="C96" s="20" t="s">
        <v>78</v>
      </c>
      <c r="D96" s="15" t="n">
        <f aca="false">Inputs!$D$6</f>
        <v>530</v>
      </c>
      <c r="E96" s="15" t="n">
        <f aca="false">Inputs!$E$6</f>
        <v>585</v>
      </c>
      <c r="F96" s="15" t="n">
        <f aca="false">Inputs!$F$6</f>
        <v>640</v>
      </c>
      <c r="G96" s="15" t="n">
        <f aca="false">F96*(1+G95)</f>
        <v>711.76</v>
      </c>
      <c r="H96" s="15" t="n">
        <f aca="false">G96*(1+H95)</f>
        <v>791.56609</v>
      </c>
      <c r="I96" s="15" t="n">
        <f aca="false">H96*(1+I95)</f>
        <v>867.952217685</v>
      </c>
    </row>
    <row r="97" customFormat="false" ht="15" hidden="false" customHeight="false" outlineLevel="0" collapsed="false">
      <c r="B97" s="9" t="s">
        <v>34</v>
      </c>
      <c r="C97" s="20" t="s">
        <v>206</v>
      </c>
      <c r="D97" s="14" t="n">
        <f aca="false">(1+D99)/(1+D98)-1</f>
        <v>0.0281385281385282</v>
      </c>
      <c r="E97" s="14" t="n">
        <f aca="false">(1+E99)/(1+E98)-1</f>
        <v>0.0424612255275871</v>
      </c>
      <c r="F97" s="14" t="n">
        <f aca="false">(1+F99)/(1+F98)-1</f>
        <v>0.0419133317546767</v>
      </c>
      <c r="G97" s="14" t="n">
        <f aca="false">Inputs!$G$64</f>
        <v>0.05</v>
      </c>
      <c r="H97" s="14" t="n">
        <f aca="false">Inputs!$H$64</f>
        <v>0.055</v>
      </c>
      <c r="I97" s="14" t="n">
        <f aca="false">Inputs!$I$64</f>
        <v>0.055</v>
      </c>
    </row>
    <row r="98" customFormat="false" ht="15" hidden="false" customHeight="false" outlineLevel="0" collapsed="false">
      <c r="B98" s="9" t="s">
        <v>37</v>
      </c>
      <c r="C98" s="20" t="s">
        <v>206</v>
      </c>
      <c r="D98" s="14" t="n">
        <f aca="false">Inputs!$D$13</f>
        <v>0.05</v>
      </c>
      <c r="E98" s="14" t="n">
        <f aca="false">Inputs!$E$13</f>
        <v>0.035</v>
      </c>
      <c r="F98" s="14" t="n">
        <f aca="false">Inputs!$F$13</f>
        <v>0.03</v>
      </c>
      <c r="G98" s="14" t="n">
        <f aca="false">Inputs!$G$67</f>
        <v>0.03</v>
      </c>
      <c r="H98" s="14" t="n">
        <f aca="false">Inputs!$H$67</f>
        <v>0.03</v>
      </c>
      <c r="I98" s="14" t="n">
        <f aca="false">Inputs!$I$67</f>
        <v>0.03</v>
      </c>
    </row>
    <row r="99" customFormat="false" ht="15" hidden="false" customHeight="false" outlineLevel="0" collapsed="false">
      <c r="B99" s="9" t="s">
        <v>211</v>
      </c>
      <c r="C99" s="20" t="s">
        <v>206</v>
      </c>
      <c r="D99" s="14" t="n">
        <f aca="false">D100/Inputs!$C$7-1</f>
        <v>0.0795454545454546</v>
      </c>
      <c r="E99" s="14" t="n">
        <f aca="false">E100/D100-1</f>
        <v>0.0789473684210527</v>
      </c>
      <c r="F99" s="14" t="n">
        <f aca="false">F100/E100-1</f>
        <v>0.0731707317073171</v>
      </c>
      <c r="G99" s="14" t="n">
        <f aca="false">(1+G97)*(1+G98)-1</f>
        <v>0.0815000000000001</v>
      </c>
      <c r="H99" s="14" t="n">
        <f aca="false">(1+H97)*(1+H98)-1</f>
        <v>0.0866499999999999</v>
      </c>
      <c r="I99" s="14" t="n">
        <f aca="false">(1+I97)*(1+I98)-1</f>
        <v>0.0866499999999999</v>
      </c>
    </row>
    <row r="100" customFormat="false" ht="15" hidden="false" customHeight="false" outlineLevel="0" collapsed="false">
      <c r="B100" s="9" t="s">
        <v>212</v>
      </c>
      <c r="C100" s="20" t="s">
        <v>78</v>
      </c>
      <c r="D100" s="15" t="n">
        <f aca="false">Inputs!$D$7</f>
        <v>380</v>
      </c>
      <c r="E100" s="15" t="n">
        <f aca="false">Inputs!$E$7</f>
        <v>410</v>
      </c>
      <c r="F100" s="15" t="n">
        <f aca="false">Inputs!$F$7</f>
        <v>440</v>
      </c>
      <c r="G100" s="15" t="n">
        <f aca="false">F100*(1+G99)</f>
        <v>475.86</v>
      </c>
      <c r="H100" s="15" t="n">
        <f aca="false">G100*(1+H99)</f>
        <v>517.093269</v>
      </c>
      <c r="I100" s="15" t="n">
        <f aca="false">H100*(1+I99)</f>
        <v>561.89940075885</v>
      </c>
    </row>
    <row r="101" customFormat="false" ht="15" hidden="false" customHeight="false" outlineLevel="0" collapsed="false">
      <c r="B101" s="26" t="s">
        <v>213</v>
      </c>
      <c r="C101" s="20" t="s">
        <v>78</v>
      </c>
      <c r="D101" s="27" t="n">
        <f aca="false">D92+D96+D100</f>
        <v>1950</v>
      </c>
      <c r="E101" s="27" t="n">
        <f aca="false">E92+E96+E100</f>
        <v>2080</v>
      </c>
      <c r="F101" s="27" t="n">
        <f aca="false">F92+F96+F100</f>
        <v>2200</v>
      </c>
      <c r="G101" s="27" t="n">
        <f aca="false">G92+G96+G100</f>
        <v>2370.06</v>
      </c>
      <c r="H101" s="27" t="n">
        <f aca="false">H92+H96+H100</f>
        <v>2556.961267</v>
      </c>
      <c r="I101" s="27" t="n">
        <f aca="false">I92+I96+I100</f>
        <v>2747.68394271945</v>
      </c>
    </row>
    <row r="102" customFormat="false" ht="15" hidden="false" customHeight="false" outlineLevel="0" collapsed="false">
      <c r="B102" s="9" t="s">
        <v>214</v>
      </c>
      <c r="C102" s="20" t="s">
        <v>206</v>
      </c>
      <c r="D102" s="14" t="n">
        <f aca="false">D101/(Inputs!$C$5+Inputs!$C$6+Inputs!$C$7)-1</f>
        <v>0.0743801652892562</v>
      </c>
      <c r="E102" s="14" t="n">
        <f aca="false">E101/D101-1</f>
        <v>0.0666666666666667</v>
      </c>
      <c r="F102" s="14" t="n">
        <f aca="false">F101/E101-1</f>
        <v>0.0576923076923077</v>
      </c>
      <c r="G102" s="14" t="n">
        <f aca="false">G101/F101-1</f>
        <v>0.0772999999999999</v>
      </c>
      <c r="H102" s="14" t="n">
        <f aca="false">H101/G101-1</f>
        <v>0.0788592976549116</v>
      </c>
      <c r="I102" s="14" t="n">
        <f aca="false">I101/H101-1</f>
        <v>0.0745895834172015</v>
      </c>
    </row>
    <row r="103" customFormat="false" ht="15" hidden="false" customHeight="false" outlineLevel="0" collapsed="false">
      <c r="B103" s="18" t="s">
        <v>215</v>
      </c>
      <c r="C103" s="19"/>
      <c r="D103" s="19"/>
      <c r="E103" s="19"/>
      <c r="F103" s="19"/>
      <c r="G103" s="19"/>
      <c r="H103" s="19"/>
      <c r="I103" s="19"/>
    </row>
    <row r="104" customFormat="false" ht="15" hidden="false" customHeight="false" outlineLevel="0" collapsed="false">
      <c r="B104" s="9" t="s">
        <v>38</v>
      </c>
      <c r="C104" s="20" t="s">
        <v>206</v>
      </c>
      <c r="D104" s="14" t="n">
        <f aca="false">Inputs!$D$14</f>
        <v>0.121</v>
      </c>
      <c r="E104" s="14" t="n">
        <f aca="false">Inputs!$E$14</f>
        <v>0.126</v>
      </c>
      <c r="F104" s="14" t="n">
        <f aca="false">Inputs!$F$14</f>
        <v>0.13</v>
      </c>
      <c r="G104" s="14" t="n">
        <f aca="false">Inputs!$G$68</f>
        <v>0.136</v>
      </c>
      <c r="H104" s="14" t="n">
        <f aca="false">Inputs!$H$68</f>
        <v>0.142</v>
      </c>
      <c r="I104" s="14" t="n">
        <f aca="false">Inputs!$I$68</f>
        <v>0.146</v>
      </c>
    </row>
    <row r="105" customFormat="false" ht="15" hidden="false" customHeight="false" outlineLevel="0" collapsed="false">
      <c r="B105" s="9" t="s">
        <v>216</v>
      </c>
      <c r="C105" s="20" t="s">
        <v>78</v>
      </c>
      <c r="D105" s="15" t="n">
        <f aca="false">D92*D104</f>
        <v>125.84</v>
      </c>
      <c r="E105" s="15" t="n">
        <f aca="false">E92*E104</f>
        <v>136.71</v>
      </c>
      <c r="F105" s="15" t="n">
        <f aca="false">F92*F104</f>
        <v>145.6</v>
      </c>
      <c r="G105" s="15" t="n">
        <f aca="false">G92*G104</f>
        <v>160.81184</v>
      </c>
      <c r="H105" s="15" t="n">
        <f aca="false">H92*H104</f>
        <v>177.258870936</v>
      </c>
      <c r="I105" s="15" t="n">
        <f aca="false">I92*I104</f>
        <v>192.403519344238</v>
      </c>
    </row>
    <row r="106" customFormat="false" ht="15" hidden="false" customHeight="false" outlineLevel="0" collapsed="false">
      <c r="B106" s="9" t="s">
        <v>39</v>
      </c>
      <c r="C106" s="20" t="s">
        <v>206</v>
      </c>
      <c r="D106" s="14" t="n">
        <f aca="false">Inputs!$D$15</f>
        <v>0.195</v>
      </c>
      <c r="E106" s="14" t="n">
        <f aca="false">Inputs!$E$15</f>
        <v>0.203</v>
      </c>
      <c r="F106" s="14" t="n">
        <f aca="false">Inputs!$F$15</f>
        <v>0.21</v>
      </c>
      <c r="G106" s="14" t="n">
        <f aca="false">Inputs!$G$69</f>
        <v>0.224</v>
      </c>
      <c r="H106" s="14" t="n">
        <f aca="false">Inputs!$H$69</f>
        <v>0.233</v>
      </c>
      <c r="I106" s="14" t="n">
        <f aca="false">Inputs!$I$69</f>
        <v>0.24</v>
      </c>
    </row>
    <row r="107" customFormat="false" ht="15" hidden="false" customHeight="false" outlineLevel="0" collapsed="false">
      <c r="B107" s="9" t="s">
        <v>217</v>
      </c>
      <c r="C107" s="20" t="s">
        <v>78</v>
      </c>
      <c r="D107" s="15" t="n">
        <f aca="false">D96*D106</f>
        <v>103.35</v>
      </c>
      <c r="E107" s="15" t="n">
        <f aca="false">E96*E106</f>
        <v>118.755</v>
      </c>
      <c r="F107" s="15" t="n">
        <f aca="false">F96*F106</f>
        <v>134.4</v>
      </c>
      <c r="G107" s="15" t="n">
        <f aca="false">G96*G106</f>
        <v>159.43424</v>
      </c>
      <c r="H107" s="15" t="n">
        <f aca="false">H96*H106</f>
        <v>184.43489897</v>
      </c>
      <c r="I107" s="15" t="n">
        <f aca="false">I96*I106</f>
        <v>208.3085322444</v>
      </c>
    </row>
    <row r="108" customFormat="false" ht="15" hidden="false" customHeight="false" outlineLevel="0" collapsed="false">
      <c r="B108" s="9" t="s">
        <v>40</v>
      </c>
      <c r="C108" s="20" t="s">
        <v>206</v>
      </c>
      <c r="D108" s="14" t="n">
        <f aca="false">Inputs!$D$16</f>
        <v>0.23</v>
      </c>
      <c r="E108" s="14" t="n">
        <f aca="false">Inputs!$E$16</f>
        <v>0.235</v>
      </c>
      <c r="F108" s="14" t="n">
        <f aca="false">Inputs!$F$16</f>
        <v>0.24</v>
      </c>
      <c r="G108" s="14" t="n">
        <f aca="false">Inputs!$G$70</f>
        <v>0.245</v>
      </c>
      <c r="H108" s="14" t="n">
        <f aca="false">Inputs!$H$70</f>
        <v>0.249</v>
      </c>
      <c r="I108" s="14" t="n">
        <f aca="false">Inputs!$I$70</f>
        <v>0.252</v>
      </c>
    </row>
    <row r="109" customFormat="false" ht="15" hidden="false" customHeight="false" outlineLevel="0" collapsed="false">
      <c r="B109" s="9" t="s">
        <v>218</v>
      </c>
      <c r="C109" s="20" t="s">
        <v>78</v>
      </c>
      <c r="D109" s="15" t="n">
        <f aca="false">D100*D108</f>
        <v>87.4</v>
      </c>
      <c r="E109" s="15" t="n">
        <f aca="false">E100*E108</f>
        <v>96.35</v>
      </c>
      <c r="F109" s="15" t="n">
        <f aca="false">F100*F108</f>
        <v>105.6</v>
      </c>
      <c r="G109" s="15" t="n">
        <f aca="false">G100*G108</f>
        <v>116.5857</v>
      </c>
      <c r="H109" s="15" t="n">
        <f aca="false">H100*H108</f>
        <v>128.756223981</v>
      </c>
      <c r="I109" s="15" t="n">
        <f aca="false">I100*I108</f>
        <v>141.59864899123</v>
      </c>
    </row>
    <row r="110" customFormat="false" ht="15" hidden="false" customHeight="false" outlineLevel="0" collapsed="false">
      <c r="B110" s="9" t="s">
        <v>219</v>
      </c>
      <c r="C110" s="20" t="s">
        <v>78</v>
      </c>
      <c r="D110" s="15" t="n">
        <f aca="false">D105+D107+D109</f>
        <v>316.59</v>
      </c>
      <c r="E110" s="15" t="n">
        <f aca="false">E105+E107+E109</f>
        <v>351.815</v>
      </c>
      <c r="F110" s="15" t="n">
        <f aca="false">F105+F107+F109</f>
        <v>385.6</v>
      </c>
      <c r="G110" s="15" t="n">
        <f aca="false">G105+G107+G109</f>
        <v>436.83178</v>
      </c>
      <c r="H110" s="15" t="n">
        <f aca="false">H105+H107+H109</f>
        <v>490.449993887</v>
      </c>
      <c r="I110" s="15" t="n">
        <f aca="false">I105+I107+I109</f>
        <v>542.310700579868</v>
      </c>
    </row>
    <row r="111" customFormat="false" ht="15" hidden="false" customHeight="false" outlineLevel="0" collapsed="false">
      <c r="B111" s="9" t="s">
        <v>41</v>
      </c>
      <c r="C111" s="20" t="s">
        <v>78</v>
      </c>
      <c r="D111" s="15" t="n">
        <f aca="false">Inputs!$D$17</f>
        <v>44</v>
      </c>
      <c r="E111" s="15" t="n">
        <f aca="false">Inputs!$E$17</f>
        <v>46</v>
      </c>
      <c r="F111" s="15" t="n">
        <f aca="false">Inputs!$F$17</f>
        <v>48</v>
      </c>
      <c r="G111" s="15" t="n">
        <f aca="false">Inputs!$G$71</f>
        <v>50</v>
      </c>
      <c r="H111" s="15" t="n">
        <f aca="false">Inputs!$H$71</f>
        <v>52</v>
      </c>
      <c r="I111" s="15" t="n">
        <f aca="false">Inputs!$I$71</f>
        <v>54</v>
      </c>
    </row>
    <row r="112" customFormat="false" ht="15" hidden="false" customHeight="false" outlineLevel="0" collapsed="false">
      <c r="B112" s="26" t="s">
        <v>220</v>
      </c>
      <c r="C112" s="20" t="s">
        <v>78</v>
      </c>
      <c r="D112" s="27" t="n">
        <f aca="false">D110-D111</f>
        <v>272.59</v>
      </c>
      <c r="E112" s="27" t="n">
        <f aca="false">E110-E111</f>
        <v>305.815</v>
      </c>
      <c r="F112" s="27" t="n">
        <f aca="false">F110-F111</f>
        <v>337.6</v>
      </c>
      <c r="G112" s="27" t="n">
        <f aca="false">G110-G111</f>
        <v>386.83178</v>
      </c>
      <c r="H112" s="27" t="n">
        <f aca="false">H110-H111</f>
        <v>438.449993887</v>
      </c>
      <c r="I112" s="27" t="n">
        <f aca="false">I110-I111</f>
        <v>488.310700579868</v>
      </c>
    </row>
    <row r="113" customFormat="false" ht="15" hidden="false" customHeight="false" outlineLevel="0" collapsed="false">
      <c r="B113" s="9" t="s">
        <v>221</v>
      </c>
      <c r="C113" s="20" t="s">
        <v>206</v>
      </c>
      <c r="D113" s="14" t="n">
        <f aca="false">D112/D101</f>
        <v>0.139789743589744</v>
      </c>
      <c r="E113" s="14" t="n">
        <f aca="false">E112/E101</f>
        <v>0.147026442307692</v>
      </c>
      <c r="F113" s="14" t="n">
        <f aca="false">F112/F101</f>
        <v>0.153454545454545</v>
      </c>
      <c r="G113" s="14" t="n">
        <f aca="false">G112/G101</f>
        <v>0.163216028286204</v>
      </c>
      <c r="H113" s="14" t="n">
        <f aca="false">H112/H101</f>
        <v>0.171473068264902</v>
      </c>
      <c r="I113" s="14" t="n">
        <f aca="false">I112/I101</f>
        <v>0.177717201381093</v>
      </c>
    </row>
    <row r="114" customFormat="false" ht="15" hidden="false" customHeight="false" outlineLevel="0" collapsed="false">
      <c r="B114" s="9" t="s">
        <v>222</v>
      </c>
      <c r="C114" s="20" t="s">
        <v>78</v>
      </c>
      <c r="D114" s="15" t="n">
        <f aca="false">D101*Inputs!$D$80</f>
        <v>54.6</v>
      </c>
      <c r="E114" s="15" t="n">
        <f aca="false">E101*Inputs!$D$80</f>
        <v>58.24</v>
      </c>
      <c r="F114" s="15" t="n">
        <f aca="false">F101*Inputs!$D$80</f>
        <v>61.6</v>
      </c>
      <c r="G114" s="15" t="n">
        <f aca="false">G101*Inputs!$D$80</f>
        <v>66.36168</v>
      </c>
      <c r="H114" s="15" t="n">
        <f aca="false">H101*Inputs!$D$80</f>
        <v>71.594915476</v>
      </c>
      <c r="I114" s="15" t="n">
        <f aca="false">I101*Inputs!$D$80</f>
        <v>76.9351503961446</v>
      </c>
    </row>
    <row r="115" customFormat="false" ht="15" hidden="false" customHeight="false" outlineLevel="0" collapsed="false">
      <c r="B115" s="9" t="s">
        <v>223</v>
      </c>
      <c r="C115" s="20" t="s">
        <v>78</v>
      </c>
      <c r="D115" s="15" t="n">
        <f aca="false">D112+D114</f>
        <v>327.19</v>
      </c>
      <c r="E115" s="15" t="n">
        <f aca="false">E112+E114</f>
        <v>364.055</v>
      </c>
      <c r="F115" s="15" t="n">
        <f aca="false">F112+F114</f>
        <v>399.2</v>
      </c>
      <c r="G115" s="15" t="n">
        <f aca="false">G112+G114</f>
        <v>453.19346</v>
      </c>
      <c r="H115" s="15" t="n">
        <f aca="false">H112+H114</f>
        <v>510.044909363</v>
      </c>
      <c r="I115" s="15" t="n">
        <f aca="false">I112+I114</f>
        <v>565.245850976012</v>
      </c>
    </row>
    <row r="116" customFormat="false" ht="15" hidden="false" customHeight="false" outlineLevel="0" collapsed="false">
      <c r="B116" s="9" t="s">
        <v>42</v>
      </c>
      <c r="C116" s="20" t="s">
        <v>78</v>
      </c>
      <c r="D116" s="15" t="n">
        <f aca="false">Inputs!$D$18</f>
        <v>38</v>
      </c>
      <c r="E116" s="15" t="n">
        <f aca="false">Inputs!$E$18</f>
        <v>38</v>
      </c>
      <c r="F116" s="15" t="n">
        <f aca="false">Inputs!$F$18</f>
        <v>38</v>
      </c>
      <c r="G116" s="15" t="n">
        <f aca="false">Inputs!$G$72</f>
        <v>38</v>
      </c>
      <c r="H116" s="15" t="n">
        <f aca="false">Inputs!$H$72</f>
        <v>36</v>
      </c>
      <c r="I116" s="15" t="n">
        <f aca="false">Inputs!$I$72</f>
        <v>34</v>
      </c>
    </row>
    <row r="117" customFormat="false" ht="15" hidden="false" customHeight="false" outlineLevel="0" collapsed="false">
      <c r="B117" s="9" t="s">
        <v>43</v>
      </c>
      <c r="C117" s="20" t="s">
        <v>78</v>
      </c>
      <c r="D117" s="15" t="n">
        <f aca="false">Inputs!$D$19</f>
        <v>0</v>
      </c>
      <c r="E117" s="15" t="n">
        <f aca="false">Inputs!$E$19</f>
        <v>15</v>
      </c>
      <c r="F117" s="15" t="n">
        <f aca="false">Inputs!$F$19</f>
        <v>22</v>
      </c>
      <c r="G117" s="15" t="n">
        <f aca="false">Inputs!$G$73</f>
        <v>12</v>
      </c>
      <c r="H117" s="15" t="n">
        <f aca="false">Inputs!$H$73</f>
        <v>0</v>
      </c>
      <c r="I117" s="15" t="n">
        <f aca="false">Inputs!$I$73</f>
        <v>0</v>
      </c>
    </row>
    <row r="118" customFormat="false" ht="15" hidden="false" customHeight="false" outlineLevel="0" collapsed="false">
      <c r="B118" s="9" t="s">
        <v>224</v>
      </c>
      <c r="C118" s="20" t="s">
        <v>78</v>
      </c>
      <c r="D118" s="15" t="n">
        <f aca="false">D112-D116-D117</f>
        <v>234.59</v>
      </c>
      <c r="E118" s="15" t="n">
        <f aca="false">E112-E116-E117</f>
        <v>252.815</v>
      </c>
      <c r="F118" s="15" t="n">
        <f aca="false">F112-F116-F117</f>
        <v>277.6</v>
      </c>
      <c r="G118" s="15" t="n">
        <f aca="false">G112-G116-G117</f>
        <v>336.83178</v>
      </c>
      <c r="H118" s="15" t="n">
        <f aca="false">H112-H116-H117</f>
        <v>402.449993887</v>
      </c>
      <c r="I118" s="15" t="n">
        <f aca="false">I112-I116-I117</f>
        <v>454.310700579868</v>
      </c>
    </row>
    <row r="119" customFormat="false" ht="15" hidden="false" customHeight="false" outlineLevel="0" collapsed="false">
      <c r="B119" s="18" t="s">
        <v>225</v>
      </c>
      <c r="C119" s="19"/>
      <c r="D119" s="19"/>
      <c r="E119" s="19"/>
      <c r="F119" s="19"/>
      <c r="G119" s="19"/>
      <c r="H119" s="19"/>
      <c r="I119" s="19"/>
    </row>
    <row r="120" customFormat="false" ht="15" hidden="false" customHeight="false" outlineLevel="0" collapsed="false">
      <c r="B120" s="9" t="s">
        <v>226</v>
      </c>
      <c r="C120" s="20" t="s">
        <v>78</v>
      </c>
      <c r="D120" s="15" t="n">
        <f aca="false">Inputs!$D$20</f>
        <v>58</v>
      </c>
      <c r="E120" s="15" t="n">
        <f aca="false">Inputs!$E$20</f>
        <v>55</v>
      </c>
      <c r="F120" s="15" t="n">
        <f aca="false">Inputs!$F$20</f>
        <v>52</v>
      </c>
      <c r="G120" s="15" t="n">
        <f aca="false">F143*Inputs!$D$83</f>
        <v>55</v>
      </c>
      <c r="H120" s="15" t="n">
        <f aca="false">G143*Inputs!$D$83</f>
        <v>50.02902847</v>
      </c>
      <c r="I120" s="15" t="n">
        <f aca="false">H143*Inputs!$D$83</f>
        <v>42.8683249578455</v>
      </c>
    </row>
    <row r="121" customFormat="false" ht="15" hidden="false" customHeight="false" outlineLevel="0" collapsed="false">
      <c r="B121" s="9" t="s">
        <v>227</v>
      </c>
      <c r="C121" s="20" t="s">
        <v>78</v>
      </c>
      <c r="D121" s="15" t="n">
        <f aca="false">D118-D120</f>
        <v>176.59</v>
      </c>
      <c r="E121" s="15" t="n">
        <f aca="false">E118-E120</f>
        <v>197.815</v>
      </c>
      <c r="F121" s="15" t="n">
        <f aca="false">F118-F120</f>
        <v>225.6</v>
      </c>
      <c r="G121" s="15" t="n">
        <f aca="false">G118-G120</f>
        <v>281.83178</v>
      </c>
      <c r="H121" s="15" t="n">
        <f aca="false">H118-H120</f>
        <v>352.420965417</v>
      </c>
      <c r="I121" s="15" t="n">
        <f aca="false">I118-I120</f>
        <v>411.442375622022</v>
      </c>
    </row>
    <row r="122" customFormat="false" ht="15" hidden="false" customHeight="false" outlineLevel="0" collapsed="false">
      <c r="B122" s="9" t="s">
        <v>228</v>
      </c>
      <c r="C122" s="20" t="s">
        <v>78</v>
      </c>
      <c r="D122" s="15" t="n">
        <f aca="false">D121*Inputs!$D$79</f>
        <v>40.6157</v>
      </c>
      <c r="E122" s="15" t="n">
        <f aca="false">E121*Inputs!$D$79</f>
        <v>45.49745</v>
      </c>
      <c r="F122" s="15" t="n">
        <f aca="false">F121*Inputs!$D$79</f>
        <v>51.888</v>
      </c>
      <c r="G122" s="15" t="n">
        <f aca="false">G121*Inputs!$D$79</f>
        <v>64.8213094</v>
      </c>
      <c r="H122" s="15" t="n">
        <f aca="false">H121*Inputs!$D$79</f>
        <v>81.05682204591</v>
      </c>
      <c r="I122" s="15" t="n">
        <f aca="false">I121*Inputs!$D$79</f>
        <v>94.6317463930651</v>
      </c>
    </row>
    <row r="123" customFormat="false" ht="15" hidden="false" customHeight="false" outlineLevel="0" collapsed="false">
      <c r="B123" s="9" t="s">
        <v>229</v>
      </c>
      <c r="C123" s="20" t="s">
        <v>78</v>
      </c>
      <c r="D123" s="15" t="n">
        <f aca="false">D121-D122</f>
        <v>135.9743</v>
      </c>
      <c r="E123" s="15" t="n">
        <f aca="false">E121-E122</f>
        <v>152.31755</v>
      </c>
      <c r="F123" s="15" t="n">
        <f aca="false">F121-F122</f>
        <v>173.712</v>
      </c>
      <c r="G123" s="15" t="n">
        <f aca="false">G121-G122</f>
        <v>217.0104706</v>
      </c>
      <c r="H123" s="15" t="n">
        <f aca="false">H121-H122</f>
        <v>271.36414337109</v>
      </c>
      <c r="I123" s="15" t="n">
        <f aca="false">I121-I122</f>
        <v>316.810629228957</v>
      </c>
    </row>
    <row r="124" customFormat="false" ht="15" hidden="false" customHeight="false" outlineLevel="0" collapsed="false">
      <c r="B124" s="9" t="s">
        <v>230</v>
      </c>
      <c r="C124" s="20" t="s">
        <v>231</v>
      </c>
      <c r="D124" s="16" t="n">
        <f aca="false">Inputs!$D$21</f>
        <v>57</v>
      </c>
      <c r="E124" s="16" t="n">
        <f aca="false">Inputs!$E$21</f>
        <v>56.3</v>
      </c>
      <c r="F124" s="16" t="n">
        <f aca="false">Inputs!$F$21</f>
        <v>55.6</v>
      </c>
      <c r="G124" s="16" t="n">
        <f aca="false">Inputs!$G$74</f>
        <v>55</v>
      </c>
      <c r="H124" s="16" t="n">
        <f aca="false">Inputs!$H$74</f>
        <v>54.4</v>
      </c>
      <c r="I124" s="16" t="n">
        <f aca="false">Inputs!$I$74</f>
        <v>53.8</v>
      </c>
    </row>
    <row r="125" customFormat="false" ht="15" hidden="false" customHeight="false" outlineLevel="0" collapsed="false">
      <c r="B125" s="26" t="s">
        <v>232</v>
      </c>
      <c r="C125" s="20" t="s">
        <v>61</v>
      </c>
      <c r="D125" s="28" t="n">
        <f aca="false">D123/D124</f>
        <v>2.38551403508772</v>
      </c>
      <c r="E125" s="28" t="n">
        <f aca="false">E123/E124</f>
        <v>2.70546269982238</v>
      </c>
      <c r="F125" s="28" t="n">
        <f aca="false">F123/F124</f>
        <v>3.12431654676259</v>
      </c>
      <c r="G125" s="28" t="n">
        <f aca="false">G123/G124</f>
        <v>3.94564492</v>
      </c>
      <c r="H125" s="28" t="n">
        <f aca="false">H123/H124</f>
        <v>4.98831145902739</v>
      </c>
      <c r="I125" s="28" t="n">
        <f aca="false">I123/I124</f>
        <v>5.8886734057427</v>
      </c>
    </row>
    <row r="126" customFormat="false" ht="15" hidden="false" customHeight="false" outlineLevel="0" collapsed="false">
      <c r="B126" s="18" t="s">
        <v>233</v>
      </c>
      <c r="C126" s="19"/>
      <c r="D126" s="19"/>
      <c r="E126" s="19"/>
      <c r="F126" s="19"/>
      <c r="G126" s="19"/>
      <c r="H126" s="19"/>
      <c r="I126" s="19"/>
    </row>
    <row r="127" customFormat="false" ht="15" hidden="false" customHeight="false" outlineLevel="0" collapsed="false">
      <c r="B127" s="9" t="s">
        <v>234</v>
      </c>
      <c r="C127" s="20" t="s">
        <v>61</v>
      </c>
      <c r="D127" s="17" t="n">
        <f aca="false">D116*(1-Inputs!$D$79)/D124</f>
        <v>0.513333333333333</v>
      </c>
      <c r="E127" s="17" t="n">
        <f aca="false">E116*(1-Inputs!$D$79)/E124</f>
        <v>0.519715808170515</v>
      </c>
      <c r="F127" s="17" t="n">
        <f aca="false">F116*(1-Inputs!$D$79)/F124</f>
        <v>0.526258992805755</v>
      </c>
      <c r="G127" s="17" t="n">
        <f aca="false">G116*(1-Inputs!$D$79)/G124</f>
        <v>0.532</v>
      </c>
      <c r="H127" s="17" t="n">
        <f aca="false">H116*(1-Inputs!$D$79)/H124</f>
        <v>0.509558823529412</v>
      </c>
      <c r="I127" s="17" t="n">
        <f aca="false">I116*(1-Inputs!$D$79)/I124</f>
        <v>0.486617100371747</v>
      </c>
    </row>
    <row r="128" customFormat="false" ht="15" hidden="false" customHeight="false" outlineLevel="0" collapsed="false">
      <c r="B128" s="9" t="s">
        <v>235</v>
      </c>
      <c r="C128" s="20" t="s">
        <v>61</v>
      </c>
      <c r="D128" s="17" t="n">
        <f aca="false">D117*(1-Inputs!$D$79)/D124</f>
        <v>0</v>
      </c>
      <c r="E128" s="17" t="n">
        <f aca="false">E117*(1-Inputs!$D$79)/E124</f>
        <v>0.205150976909414</v>
      </c>
      <c r="F128" s="17" t="n">
        <f aca="false">F117*(1-Inputs!$D$79)/F124</f>
        <v>0.304676258992806</v>
      </c>
      <c r="G128" s="17" t="n">
        <f aca="false">G117*(1-Inputs!$D$79)/G124</f>
        <v>0.168</v>
      </c>
      <c r="H128" s="17" t="n">
        <f aca="false">H117*(1-Inputs!$D$79)/H124</f>
        <v>0</v>
      </c>
      <c r="I128" s="17" t="n">
        <f aca="false">I117*(1-Inputs!$D$79)/I124</f>
        <v>0</v>
      </c>
    </row>
    <row r="129" customFormat="false" ht="15" hidden="false" customHeight="false" outlineLevel="0" collapsed="false">
      <c r="B129" s="9" t="s">
        <v>236</v>
      </c>
      <c r="C129" s="20" t="s">
        <v>78</v>
      </c>
      <c r="D129" s="15" t="n">
        <f aca="false">(D116+D117)*(1-Inputs!$D$79)</f>
        <v>29.26</v>
      </c>
      <c r="E129" s="15" t="n">
        <f aca="false">(E116+E117)*(1-Inputs!$D$79)</f>
        <v>40.81</v>
      </c>
      <c r="F129" s="15" t="n">
        <f aca="false">(F116+F117)*(1-Inputs!$D$79)</f>
        <v>46.2</v>
      </c>
      <c r="G129" s="15" t="n">
        <f aca="false">(G116+G117)*(1-Inputs!$D$79)</f>
        <v>38.5</v>
      </c>
      <c r="H129" s="15" t="n">
        <f aca="false">(H116+H117)*(1-Inputs!$D$79)</f>
        <v>27.72</v>
      </c>
      <c r="I129" s="15" t="n">
        <f aca="false">(I116+I117)*(1-Inputs!$D$79)</f>
        <v>26.18</v>
      </c>
    </row>
    <row r="130" customFormat="false" ht="15" hidden="false" customHeight="false" outlineLevel="0" collapsed="false">
      <c r="B130" s="9" t="s">
        <v>237</v>
      </c>
      <c r="C130" s="20" t="s">
        <v>78</v>
      </c>
      <c r="D130" s="15" t="n">
        <f aca="false">D123+D129</f>
        <v>165.2343</v>
      </c>
      <c r="E130" s="15" t="n">
        <f aca="false">E123+E129</f>
        <v>193.12755</v>
      </c>
      <c r="F130" s="15" t="n">
        <f aca="false">F123+F129</f>
        <v>219.912</v>
      </c>
      <c r="G130" s="15" t="n">
        <f aca="false">G123+G129</f>
        <v>255.5104706</v>
      </c>
      <c r="H130" s="15" t="n">
        <f aca="false">H123+H129</f>
        <v>299.08414337109</v>
      </c>
      <c r="I130" s="15" t="n">
        <f aca="false">I123+I129</f>
        <v>342.990629228957</v>
      </c>
    </row>
    <row r="131" customFormat="false" ht="15" hidden="false" customHeight="false" outlineLevel="0" collapsed="false">
      <c r="B131" s="26" t="s">
        <v>238</v>
      </c>
      <c r="C131" s="20" t="s">
        <v>61</v>
      </c>
      <c r="D131" s="28" t="n">
        <f aca="false">D130/D124</f>
        <v>2.89884736842105</v>
      </c>
      <c r="E131" s="28" t="n">
        <f aca="false">E130/E124</f>
        <v>3.43032948490231</v>
      </c>
      <c r="F131" s="28" t="n">
        <f aca="false">F130/F124</f>
        <v>3.95525179856115</v>
      </c>
      <c r="G131" s="28" t="n">
        <f aca="false">G130/G124</f>
        <v>4.64564492</v>
      </c>
      <c r="H131" s="28" t="n">
        <f aca="false">H130/H124</f>
        <v>5.4978702825568</v>
      </c>
      <c r="I131" s="28" t="n">
        <f aca="false">I130/I124</f>
        <v>6.37529050611444</v>
      </c>
    </row>
    <row r="132" customFormat="false" ht="15" hidden="false" customHeight="false" outlineLevel="0" collapsed="false">
      <c r="B132" s="9" t="s">
        <v>239</v>
      </c>
      <c r="C132" s="20" t="s">
        <v>206</v>
      </c>
      <c r="D132" s="9"/>
      <c r="E132" s="14" t="n">
        <f aca="false">E131/D131-1</f>
        <v>0.183342566521791</v>
      </c>
      <c r="F132" s="14" t="n">
        <f aca="false">F131/E131-1</f>
        <v>0.153023875977264</v>
      </c>
      <c r="G132" s="14" t="n">
        <f aca="false">G131/F131-1</f>
        <v>0.174550991087344</v>
      </c>
      <c r="H132" s="14" t="n">
        <f aca="false">H131/G131-1</f>
        <v>0.183446082779138</v>
      </c>
      <c r="I132" s="14" t="n">
        <f aca="false">I131/H131-1</f>
        <v>0.159592747457402</v>
      </c>
    </row>
    <row r="133" customFormat="false" ht="15" hidden="false" customHeight="false" outlineLevel="0" collapsed="false">
      <c r="B133" s="9" t="s">
        <v>240</v>
      </c>
      <c r="C133" s="20" t="s">
        <v>206</v>
      </c>
      <c r="D133" s="14" t="n">
        <f aca="false">D131/D125-1</f>
        <v>0.215187722974121</v>
      </c>
      <c r="E133" s="14" t="n">
        <f aca="false">E131/E125-1</f>
        <v>0.267927103606906</v>
      </c>
      <c r="F133" s="14" t="n">
        <f aca="false">F131/F125-1</f>
        <v>0.265957446808511</v>
      </c>
      <c r="G133" s="14" t="n">
        <f aca="false">G131/G125-1</f>
        <v>0.17741079448173</v>
      </c>
      <c r="H133" s="14" t="n">
        <f aca="false">H131/H125-1</f>
        <v>0.102150562913881</v>
      </c>
      <c r="I133" s="14" t="n">
        <f aca="false">I131/I125-1</f>
        <v>0.0826361162935601</v>
      </c>
    </row>
    <row r="134" customFormat="false" ht="15" hidden="false" customHeight="false" outlineLevel="0" collapsed="false">
      <c r="B134" s="18" t="s">
        <v>241</v>
      </c>
      <c r="C134" s="19"/>
      <c r="D134" s="19"/>
      <c r="E134" s="19"/>
      <c r="F134" s="19"/>
      <c r="G134" s="19"/>
      <c r="H134" s="19"/>
      <c r="I134" s="19"/>
    </row>
    <row r="135" customFormat="false" ht="15" hidden="false" customHeight="false" outlineLevel="0" collapsed="false">
      <c r="B135" s="9" t="s">
        <v>242</v>
      </c>
      <c r="C135" s="20" t="s">
        <v>78</v>
      </c>
      <c r="D135" s="15" t="n">
        <f aca="false">D101*Inputs!$D$81</f>
        <v>62.4</v>
      </c>
      <c r="E135" s="15" t="n">
        <f aca="false">E101*Inputs!$D$81</f>
        <v>66.56</v>
      </c>
      <c r="F135" s="15" t="n">
        <f aca="false">F101*Inputs!$D$81</f>
        <v>70.4</v>
      </c>
      <c r="G135" s="15" t="n">
        <f aca="false">G101*Inputs!$D$81</f>
        <v>75.84192</v>
      </c>
      <c r="H135" s="15" t="n">
        <f aca="false">H101*Inputs!$D$81</f>
        <v>81.822760544</v>
      </c>
      <c r="I135" s="15" t="n">
        <f aca="false">I101*Inputs!$D$81</f>
        <v>87.9258861670224</v>
      </c>
    </row>
    <row r="136" customFormat="false" ht="15" hidden="false" customHeight="false" outlineLevel="0" collapsed="false">
      <c r="B136" s="9" t="s">
        <v>243</v>
      </c>
      <c r="C136" s="20" t="s">
        <v>78</v>
      </c>
      <c r="D136" s="15" t="n">
        <f aca="false">(D101-(Inputs!$C$5+Inputs!$C$6+Inputs!$C$7))*Inputs!$D$82</f>
        <v>24.3</v>
      </c>
      <c r="E136" s="15" t="n">
        <f aca="false">(E101-D101)*Inputs!$D$82</f>
        <v>23.4</v>
      </c>
      <c r="F136" s="15" t="n">
        <f aca="false">(F101-E101)*Inputs!$D$82</f>
        <v>21.6</v>
      </c>
      <c r="G136" s="15" t="n">
        <f aca="false">(G101-F101)*Inputs!$D$82</f>
        <v>30.6108</v>
      </c>
      <c r="H136" s="15" t="n">
        <f aca="false">(H101-G101)*Inputs!$D$82</f>
        <v>33.64222806</v>
      </c>
      <c r="I136" s="15" t="n">
        <f aca="false">(I101-H101)*Inputs!$D$82</f>
        <v>34.330081629501</v>
      </c>
    </row>
    <row r="137" customFormat="false" ht="15" hidden="false" customHeight="false" outlineLevel="0" collapsed="false">
      <c r="B137" s="26" t="s">
        <v>244</v>
      </c>
      <c r="C137" s="20" t="s">
        <v>78</v>
      </c>
      <c r="D137" s="27" t="n">
        <f aca="false">D123+D114+D116-D135-D136</f>
        <v>141.8743</v>
      </c>
      <c r="E137" s="27" t="n">
        <f aca="false">E123+E114+E116-E135-E136</f>
        <v>158.59755</v>
      </c>
      <c r="F137" s="27" t="n">
        <f aca="false">F123+F114+F116-F135-F136</f>
        <v>181.312</v>
      </c>
      <c r="G137" s="27" t="n">
        <f aca="false">G123+G114+G116-G135-G136</f>
        <v>214.9194306</v>
      </c>
      <c r="H137" s="27" t="n">
        <f aca="false">H123+H114+H116-H135-H136</f>
        <v>263.49407024309</v>
      </c>
      <c r="I137" s="27" t="n">
        <f aca="false">I123+I114+I116-I135-I136</f>
        <v>305.489811828578</v>
      </c>
    </row>
    <row r="138" customFormat="false" ht="15" hidden="false" customHeight="false" outlineLevel="0" collapsed="false">
      <c r="B138" s="9" t="s">
        <v>245</v>
      </c>
      <c r="C138" s="20" t="s">
        <v>206</v>
      </c>
      <c r="D138" s="29" t="n">
        <f aca="false">D137/D130</f>
        <v>0.85862499493144</v>
      </c>
      <c r="E138" s="29" t="n">
        <f aca="false">E137/E130</f>
        <v>0.821206244267066</v>
      </c>
      <c r="F138" s="29" t="n">
        <f aca="false">F137/F130</f>
        <v>0.824475244643312</v>
      </c>
      <c r="G138" s="29" t="n">
        <f aca="false">G137/G130</f>
        <v>0.841137469221193</v>
      </c>
      <c r="H138" s="29" t="n">
        <f aca="false">H137/H130</f>
        <v>0.881003142704756</v>
      </c>
      <c r="I138" s="29" t="n">
        <f aca="false">I137/I130</f>
        <v>0.890665183813679</v>
      </c>
    </row>
    <row r="139" customFormat="false" ht="15" hidden="false" customHeight="false" outlineLevel="0" collapsed="false">
      <c r="B139" s="9" t="s">
        <v>246</v>
      </c>
      <c r="C139" s="20" t="s">
        <v>61</v>
      </c>
      <c r="D139" s="17" t="n">
        <f aca="false">D137/D124</f>
        <v>2.48902280701754</v>
      </c>
      <c r="E139" s="17" t="n">
        <f aca="false">E137/E124</f>
        <v>2.81700799289521</v>
      </c>
      <c r="F139" s="17" t="n">
        <f aca="false">F137/F124</f>
        <v>3.2610071942446</v>
      </c>
      <c r="G139" s="17" t="n">
        <f aca="false">G137/G124</f>
        <v>3.90762601090909</v>
      </c>
      <c r="H139" s="17" t="n">
        <f aca="false">H137/H124</f>
        <v>4.84364099711562</v>
      </c>
      <c r="I139" s="17" t="n">
        <f aca="false">I137/I124</f>
        <v>5.67824929049402</v>
      </c>
    </row>
    <row r="140" customFormat="false" ht="15" hidden="false" customHeight="false" outlineLevel="0" collapsed="false">
      <c r="B140" s="9" t="s">
        <v>247</v>
      </c>
      <c r="C140" s="20" t="s">
        <v>61</v>
      </c>
      <c r="D140" s="17" t="n">
        <f aca="false">Inputs!$D$22</f>
        <v>0.9</v>
      </c>
      <c r="E140" s="17" t="n">
        <f aca="false">Inputs!$E$22</f>
        <v>0.96</v>
      </c>
      <c r="F140" s="17" t="n">
        <f aca="false">Inputs!$F$22</f>
        <v>1.02</v>
      </c>
      <c r="G140" s="17" t="n">
        <f aca="false">Inputs!$G$75</f>
        <v>1.1</v>
      </c>
      <c r="H140" s="17" t="n">
        <f aca="false">Inputs!$H$75</f>
        <v>1.2</v>
      </c>
      <c r="I140" s="17" t="n">
        <f aca="false">Inputs!$I$75</f>
        <v>1.3</v>
      </c>
    </row>
    <row r="141" customFormat="false" ht="15" hidden="false" customHeight="false" outlineLevel="0" collapsed="false">
      <c r="B141" s="9" t="s">
        <v>248</v>
      </c>
      <c r="C141" s="20" t="s">
        <v>78</v>
      </c>
      <c r="D141" s="15" t="n">
        <f aca="false">D140*D124</f>
        <v>51.3</v>
      </c>
      <c r="E141" s="15" t="n">
        <f aca="false">E140*E124</f>
        <v>54.048</v>
      </c>
      <c r="F141" s="15" t="n">
        <f aca="false">F140*F124</f>
        <v>56.712</v>
      </c>
      <c r="G141" s="15" t="n">
        <f aca="false">G140*G124</f>
        <v>60.5</v>
      </c>
      <c r="H141" s="15" t="n">
        <f aca="false">H140*H124</f>
        <v>65.28</v>
      </c>
      <c r="I141" s="15" t="n">
        <f aca="false">I140*I124</f>
        <v>69.94</v>
      </c>
    </row>
    <row r="142" customFormat="false" ht="15" hidden="false" customHeight="false" outlineLevel="0" collapsed="false">
      <c r="B142" s="9" t="s">
        <v>48</v>
      </c>
      <c r="C142" s="20" t="s">
        <v>78</v>
      </c>
      <c r="D142" s="9"/>
      <c r="E142" s="9"/>
      <c r="F142" s="9"/>
      <c r="G142" s="15" t="n">
        <f aca="false">Inputs!$G$76</f>
        <v>55</v>
      </c>
      <c r="H142" s="15" t="n">
        <f aca="false">Inputs!$H$76</f>
        <v>55</v>
      </c>
      <c r="I142" s="15" t="n">
        <f aca="false">Inputs!$I$76</f>
        <v>55</v>
      </c>
    </row>
    <row r="143" customFormat="false" ht="15" hidden="false" customHeight="false" outlineLevel="0" collapsed="false">
      <c r="B143" s="26" t="s">
        <v>249</v>
      </c>
      <c r="C143" s="20" t="s">
        <v>78</v>
      </c>
      <c r="D143" s="27" t="n">
        <f aca="false">Inputs!$D$23</f>
        <v>1210</v>
      </c>
      <c r="E143" s="27" t="n">
        <f aca="false">Inputs!$E$23</f>
        <v>1160</v>
      </c>
      <c r="F143" s="27" t="n">
        <f aca="false">Inputs!$F$23</f>
        <v>1100</v>
      </c>
      <c r="G143" s="27" t="n">
        <f aca="false">F143-G137+G141+G142</f>
        <v>1000.5805694</v>
      </c>
      <c r="H143" s="27" t="n">
        <f aca="false">G143-H137+H141+H142</f>
        <v>857.36649915691</v>
      </c>
      <c r="I143" s="27" t="n">
        <f aca="false">H143-I137+I141+I142</f>
        <v>676.816687328332</v>
      </c>
    </row>
    <row r="144" customFormat="false" ht="15" hidden="false" customHeight="false" outlineLevel="0" collapsed="false">
      <c r="B144" s="9" t="s">
        <v>250</v>
      </c>
      <c r="C144" s="20" t="s">
        <v>251</v>
      </c>
      <c r="D144" s="30" t="n">
        <f aca="false">D143/D115</f>
        <v>3.69815703413918</v>
      </c>
      <c r="E144" s="30" t="n">
        <f aca="false">E143/E115</f>
        <v>3.1863317355894</v>
      </c>
      <c r="F144" s="30" t="n">
        <f aca="false">F143/F115</f>
        <v>2.75551102204409</v>
      </c>
      <c r="G144" s="30" t="n">
        <f aca="false">G143/G115</f>
        <v>2.20784423808764</v>
      </c>
      <c r="H144" s="30" t="n">
        <f aca="false">H143/H115</f>
        <v>1.68096276115702</v>
      </c>
      <c r="I144" s="30" t="n">
        <f aca="false">I143/I115</f>
        <v>1.19738461796698</v>
      </c>
    </row>
    <row r="145" customFormat="false" ht="15" hidden="false" customHeight="false" outlineLevel="0" collapsed="false">
      <c r="B145" s="9" t="s">
        <v>252</v>
      </c>
      <c r="C145" s="20" t="s">
        <v>78</v>
      </c>
      <c r="D145" s="15" t="n">
        <f aca="false">D118*(1-Inputs!$D$79)+D114+D116-D135-D136</f>
        <v>186.5343</v>
      </c>
      <c r="E145" s="15" t="n">
        <f aca="false">E118*(1-Inputs!$D$79)+E114+E116-E135-E136</f>
        <v>200.94755</v>
      </c>
      <c r="F145" s="15" t="n">
        <f aca="false">F118*(1-Inputs!$D$79)+F114+F116-F135-F136</f>
        <v>221.352</v>
      </c>
      <c r="G145" s="15" t="n">
        <f aca="false">G118*(1-Inputs!$D$79)+G114+G116-G135-G136</f>
        <v>257.2694306</v>
      </c>
      <c r="H145" s="15" t="n">
        <f aca="false">H118*(1-Inputs!$D$79)+H114+H116-H135-H136</f>
        <v>302.01642216499</v>
      </c>
      <c r="I145" s="15" t="n">
        <f aca="false">I118*(1-Inputs!$D$79)+I114+I116-I135-I136</f>
        <v>338.498422046119</v>
      </c>
    </row>
    <row r="146" customFormat="false" ht="15" hidden="false" customHeight="false" outlineLevel="0" collapsed="false">
      <c r="B146" s="18" t="s">
        <v>253</v>
      </c>
      <c r="C146" s="19"/>
      <c r="D146" s="19"/>
      <c r="E146" s="19"/>
      <c r="F146" s="19"/>
      <c r="G146" s="19"/>
      <c r="H146" s="19"/>
      <c r="I146" s="19"/>
    </row>
    <row r="147" customFormat="false" ht="15" hidden="false" customHeight="false" outlineLevel="0" collapsed="false">
      <c r="B147" s="9" t="s">
        <v>254</v>
      </c>
      <c r="C147" s="20" t="s">
        <v>206</v>
      </c>
      <c r="D147" s="9"/>
      <c r="E147" s="14" t="n">
        <f aca="false">(E105-D105)/(E92-D92)</f>
        <v>0.241555555555556</v>
      </c>
      <c r="F147" s="14" t="n">
        <f aca="false">(F105-E105)/(F92-E92)</f>
        <v>0.254</v>
      </c>
      <c r="G147" s="14" t="n">
        <f aca="false">(G105-F105)/(G92-F92)</f>
        <v>0.24362331838565</v>
      </c>
      <c r="H147" s="14" t="n">
        <f aca="false">(H105-G105)/(H92-G92)</f>
        <v>0.249719928186714</v>
      </c>
      <c r="I147" s="14" t="n">
        <f aca="false">(I105-H105)/(I92-H92)</f>
        <v>0.21781328545781</v>
      </c>
    </row>
    <row r="148" customFormat="false" ht="15" hidden="false" customHeight="false" outlineLevel="0" collapsed="false">
      <c r="B148" s="9" t="s">
        <v>255</v>
      </c>
      <c r="C148" s="20" t="s">
        <v>206</v>
      </c>
      <c r="D148" s="9"/>
      <c r="E148" s="14" t="n">
        <f aca="false">(E107-D107)/(E96-D96)</f>
        <v>0.280090909090909</v>
      </c>
      <c r="F148" s="14" t="n">
        <f aca="false">(F107-E107)/(F96-E96)</f>
        <v>0.284454545454545</v>
      </c>
      <c r="G148" s="14" t="n">
        <f aca="false">(G107-F107)/(G96-F96)</f>
        <v>0.348860646599777</v>
      </c>
      <c r="H148" s="14" t="n">
        <f aca="false">(H107-G107)/(H96-G96)</f>
        <v>0.313267558528428</v>
      </c>
      <c r="I148" s="14" t="n">
        <f aca="false">(I107-H107)/(I96-H96)</f>
        <v>0.312538860103626</v>
      </c>
    </row>
    <row r="149" customFormat="false" ht="15" hidden="false" customHeight="false" outlineLevel="0" collapsed="false">
      <c r="B149" s="9" t="s">
        <v>256</v>
      </c>
      <c r="C149" s="20" t="s">
        <v>206</v>
      </c>
      <c r="D149" s="9"/>
      <c r="E149" s="14" t="n">
        <f aca="false">(E109-D109)/(E100-D100)</f>
        <v>0.298333333333333</v>
      </c>
      <c r="F149" s="14" t="n">
        <f aca="false">(F109-E109)/(F100-E100)</f>
        <v>0.308333333333333</v>
      </c>
      <c r="G149" s="14" t="n">
        <f aca="false">(G109-F109)/(G100-F100)</f>
        <v>0.306349693251534</v>
      </c>
      <c r="H149" s="14" t="n">
        <f aca="false">(H109-G109)/(H100-G100)</f>
        <v>0.295162723600692</v>
      </c>
      <c r="I149" s="14" t="n">
        <f aca="false">(I109-H109)/(I100-H100)</f>
        <v>0.28662204270052</v>
      </c>
    </row>
    <row r="150" customFormat="false" ht="15" hidden="false" customHeight="false" outlineLevel="0" collapsed="false">
      <c r="B150" s="9" t="s">
        <v>257</v>
      </c>
      <c r="C150" s="20" t="s">
        <v>206</v>
      </c>
      <c r="D150" s="9"/>
      <c r="E150" s="14" t="n">
        <f aca="false">(E112-D112)/(E101-D101)</f>
        <v>0.255576923076923</v>
      </c>
      <c r="F150" s="14" t="n">
        <f aca="false">(F112-E112)/(F101-E101)</f>
        <v>0.264875</v>
      </c>
      <c r="G150" s="14" t="n">
        <f aca="false">(G112-F112)/(G101-F101)</f>
        <v>0.289496530636246</v>
      </c>
      <c r="H150" s="14" t="n">
        <f aca="false">(H112-G112)/(H101-G101)</f>
        <v>0.276179047448619</v>
      </c>
      <c r="I150" s="14" t="n">
        <f aca="false">(I112-H112)/(I101-H101)</f>
        <v>0.261430406766168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I1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58593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8"/>
    <col collapsed="false" customWidth="true" hidden="false" outlineLevel="0" max="3" min="3" style="0" width="6"/>
    <col collapsed="false" customWidth="true" hidden="false" outlineLevel="0" max="9" min="4" style="0" width="12"/>
  </cols>
  <sheetData>
    <row r="1" customFormat="false" ht="6" hidden="false" customHeight="true" outlineLevel="0" collapsed="false"/>
    <row r="2" customFormat="false" ht="17.35" hidden="false" customHeight="false" outlineLevel="0" collapsed="false">
      <c r="B2" s="5" t="s">
        <v>295</v>
      </c>
    </row>
    <row r="3" customFormat="false" ht="15" hidden="false" customHeight="false" outlineLevel="0" collapsed="false">
      <c r="B3" s="6" t="s">
        <v>296</v>
      </c>
    </row>
    <row r="4" customFormat="false" ht="15" hidden="false" customHeight="false" outlineLevel="0" collapsed="false">
      <c r="B4" s="18" t="s">
        <v>297</v>
      </c>
      <c r="C4" s="19"/>
      <c r="D4" s="19"/>
      <c r="E4" s="19"/>
      <c r="F4" s="19"/>
      <c r="G4" s="19"/>
      <c r="H4" s="19"/>
      <c r="I4" s="19"/>
    </row>
    <row r="5" customFormat="false" ht="15" hidden="false" customHeight="false" outlineLevel="0" collapsed="false">
      <c r="B5" s="9" t="s">
        <v>298</v>
      </c>
      <c r="C5" s="20" t="s">
        <v>61</v>
      </c>
      <c r="D5" s="17" t="n">
        <f aca="false">Inputs!$D$86</f>
        <v>86.2</v>
      </c>
    </row>
    <row r="6" customFormat="false" ht="15" hidden="false" customHeight="false" outlineLevel="0" collapsed="false">
      <c r="B6" s="9" t="s">
        <v>299</v>
      </c>
      <c r="C6" s="20" t="s">
        <v>78</v>
      </c>
      <c r="D6" s="15" t="n">
        <f aca="false">Inputs!$D$86*Model!$H$41</f>
        <v>4689.28</v>
      </c>
    </row>
    <row r="7" customFormat="false" ht="15" hidden="false" customHeight="false" outlineLevel="0" collapsed="false">
      <c r="B7" s="9" t="s">
        <v>300</v>
      </c>
      <c r="C7" s="20" t="s">
        <v>78</v>
      </c>
      <c r="D7" s="15" t="n">
        <f aca="false">$D$6+Model!$G$60</f>
        <v>5695.38205312</v>
      </c>
    </row>
    <row r="8" customFormat="false" ht="15" hidden="false" customHeight="false" outlineLevel="0" collapsed="false">
      <c r="B8" s="9" t="s">
        <v>301</v>
      </c>
      <c r="D8" s="32" t="n">
        <f aca="false">Inputs!$D$86/Model!$G$48</f>
        <v>19.5979660690619</v>
      </c>
    </row>
    <row r="9" customFormat="false" ht="15" hidden="false" customHeight="false" outlineLevel="0" collapsed="false">
      <c r="B9" s="9" t="s">
        <v>302</v>
      </c>
      <c r="D9" s="32" t="n">
        <f aca="false">Inputs!$D$86/Model!$H$48</f>
        <v>17.0422659426756</v>
      </c>
    </row>
    <row r="10" customFormat="false" ht="15" hidden="false" customHeight="false" outlineLevel="0" collapsed="false">
      <c r="B10" s="9" t="s">
        <v>303</v>
      </c>
      <c r="D10" s="32" t="n">
        <f aca="false">$D$7/Model!$H$32</f>
        <v>11.9428514500958</v>
      </c>
    </row>
    <row r="11" customFormat="false" ht="15" hidden="false" customHeight="false" outlineLevel="0" collapsed="false">
      <c r="B11" s="9" t="s">
        <v>304</v>
      </c>
      <c r="D11" s="14" t="n">
        <f aca="false">Model!$G$56/Inputs!$D$86</f>
        <v>0.0441674640118119</v>
      </c>
    </row>
    <row r="12" customFormat="false" ht="15" hidden="false" customHeight="false" outlineLevel="0" collapsed="false">
      <c r="B12" s="9" t="s">
        <v>305</v>
      </c>
      <c r="D12" s="14" t="n">
        <f aca="false">Model!$G$57/Inputs!$D$86</f>
        <v>0.0127610208816705</v>
      </c>
    </row>
    <row r="14" customFormat="false" ht="15" hidden="false" customHeight="false" outlineLevel="0" collapsed="false">
      <c r="B14" s="18" t="s">
        <v>306</v>
      </c>
      <c r="C14" s="19"/>
      <c r="D14" s="19"/>
      <c r="E14" s="19"/>
      <c r="F14" s="19"/>
      <c r="G14" s="19"/>
      <c r="H14" s="19"/>
      <c r="I14" s="19"/>
    </row>
    <row r="15" customFormat="false" ht="15" hidden="false" customHeight="false" outlineLevel="0" collapsed="false">
      <c r="B15" s="7" t="s">
        <v>307</v>
      </c>
      <c r="C15" s="8"/>
      <c r="D15" s="8" t="s">
        <v>93</v>
      </c>
      <c r="E15" s="8" t="s">
        <v>94</v>
      </c>
      <c r="F15" s="8" t="s">
        <v>95</v>
      </c>
      <c r="G15" s="8" t="s">
        <v>96</v>
      </c>
    </row>
    <row r="16" customFormat="false" ht="15" hidden="false" customHeight="false" outlineLevel="0" collapsed="false">
      <c r="B16" s="9" t="str">
        <f aca="false">Inputs!B120</f>
        <v>Peer 1 (valves and pumps)</v>
      </c>
      <c r="D16" s="32" t="n">
        <f aca="false">Inputs!$C$120</f>
        <v>15.8</v>
      </c>
      <c r="E16" s="32" t="n">
        <f aca="false">Inputs!$D$120</f>
        <v>10.1</v>
      </c>
      <c r="F16" s="14" t="n">
        <f aca="false">Inputs!$E$120</f>
        <v>0.036</v>
      </c>
      <c r="G16" s="14" t="n">
        <f aca="false">Inputs!$F$120</f>
        <v>0.138</v>
      </c>
    </row>
    <row r="17" customFormat="false" ht="15" hidden="false" customHeight="false" outlineLevel="0" collapsed="false">
      <c r="B17" s="9" t="str">
        <f aca="false">Inputs!B121</f>
        <v>Peer 2 (process instruments)</v>
      </c>
      <c r="D17" s="32" t="n">
        <f aca="false">Inputs!$C$121</f>
        <v>23.4</v>
      </c>
      <c r="E17" s="32" t="n">
        <f aca="false">Inputs!$D$121</f>
        <v>15.2</v>
      </c>
      <c r="F17" s="14" t="n">
        <f aca="false">Inputs!$E$121</f>
        <v>0.078</v>
      </c>
      <c r="G17" s="14" t="n">
        <f aca="false">Inputs!$F$121</f>
        <v>0.214</v>
      </c>
    </row>
    <row r="18" customFormat="false" ht="15" hidden="false" customHeight="false" outlineLevel="0" collapsed="false">
      <c r="B18" s="9" t="str">
        <f aca="false">Inputs!B122</f>
        <v>Peer 3 (diversified flow)</v>
      </c>
      <c r="D18" s="32" t="n">
        <f aca="false">Inputs!$C$122</f>
        <v>18.2</v>
      </c>
      <c r="E18" s="32" t="n">
        <f aca="false">Inputs!$D$122</f>
        <v>11.9</v>
      </c>
      <c r="F18" s="14" t="n">
        <f aca="false">Inputs!$E$122</f>
        <v>0.05</v>
      </c>
      <c r="G18" s="14" t="n">
        <f aca="false">Inputs!$F$122</f>
        <v>0.162</v>
      </c>
    </row>
    <row r="19" customFormat="false" ht="15" hidden="false" customHeight="false" outlineLevel="0" collapsed="false">
      <c r="B19" s="9" t="str">
        <f aca="false">Inputs!B123</f>
        <v>Peer 4 (water analytics)</v>
      </c>
      <c r="D19" s="32" t="n">
        <f aca="false">Inputs!$C$123</f>
        <v>25.1</v>
      </c>
      <c r="E19" s="32" t="n">
        <f aca="false">Inputs!$D$123</f>
        <v>16.4</v>
      </c>
      <c r="F19" s="14" t="n">
        <f aca="false">Inputs!$E$123</f>
        <v>0.085</v>
      </c>
      <c r="G19" s="14" t="n">
        <f aca="false">Inputs!$F$123</f>
        <v>0.226</v>
      </c>
    </row>
    <row r="20" customFormat="false" ht="15" hidden="false" customHeight="false" outlineLevel="0" collapsed="false">
      <c r="B20" s="9" t="str">
        <f aca="false">Inputs!B124</f>
        <v>Peer 5 (industrial services)</v>
      </c>
      <c r="D20" s="32" t="n">
        <f aca="false">Inputs!$C$124</f>
        <v>19.6</v>
      </c>
      <c r="E20" s="32" t="n">
        <f aca="false">Inputs!$D$124</f>
        <v>12.6</v>
      </c>
      <c r="F20" s="14" t="n">
        <f aca="false">Inputs!$E$124</f>
        <v>0.061</v>
      </c>
      <c r="G20" s="14" t="n">
        <f aca="false">Inputs!$F$124</f>
        <v>0.181</v>
      </c>
    </row>
    <row r="21" customFormat="false" ht="15" hidden="false" customHeight="false" outlineLevel="0" collapsed="false">
      <c r="B21" s="9" t="str">
        <f aca="false">Inputs!B125</f>
        <v>Peer 6 (pumps, smaller cap)</v>
      </c>
      <c r="D21" s="32" t="n">
        <f aca="false">Inputs!$C$125</f>
        <v>14.9</v>
      </c>
      <c r="E21" s="32" t="n">
        <f aca="false">Inputs!$D$125</f>
        <v>9.4</v>
      </c>
      <c r="F21" s="14" t="n">
        <f aca="false">Inputs!$E$125</f>
        <v>0.03</v>
      </c>
      <c r="G21" s="14" t="n">
        <f aca="false">Inputs!$F$125</f>
        <v>0.121</v>
      </c>
    </row>
    <row r="22" customFormat="false" ht="15" hidden="false" customHeight="false" outlineLevel="0" collapsed="false">
      <c r="B22" s="26" t="s">
        <v>308</v>
      </c>
      <c r="D22" s="35" t="n">
        <f aca="false">MEDIAN(D16:D21)</f>
        <v>18.9</v>
      </c>
      <c r="E22" s="35" t="n">
        <f aca="false">MEDIAN(E16:E21)</f>
        <v>12.25</v>
      </c>
      <c r="F22" s="36" t="n">
        <f aca="false">MEDIAN(F16:F21)</f>
        <v>0.0555</v>
      </c>
      <c r="G22" s="36" t="n">
        <f aca="false">MEDIAN(G16:G21)</f>
        <v>0.1715</v>
      </c>
    </row>
    <row r="23" customFormat="false" ht="15" hidden="false" customHeight="false" outlineLevel="0" collapsed="false">
      <c r="B23" s="9" t="s">
        <v>309</v>
      </c>
      <c r="D23" s="32" t="n">
        <f aca="false">MIN(D16:D21)</f>
        <v>14.9</v>
      </c>
    </row>
    <row r="24" customFormat="false" ht="15" hidden="false" customHeight="false" outlineLevel="0" collapsed="false">
      <c r="B24" s="9" t="s">
        <v>310</v>
      </c>
      <c r="D24" s="32" t="n">
        <f aca="false">MAX(D16:D21)</f>
        <v>25.1</v>
      </c>
    </row>
    <row r="25" customFormat="false" ht="15" hidden="false" customHeight="false" outlineLevel="0" collapsed="false">
      <c r="B25" s="26" t="s">
        <v>311</v>
      </c>
      <c r="D25" s="32" t="n">
        <f aca="false">$D$9</f>
        <v>17.0422659426756</v>
      </c>
      <c r="F25" s="14" t="n">
        <f aca="false">Model!$D$82</f>
        <v>0.0610415978476011</v>
      </c>
      <c r="G25" s="14" t="n">
        <f aca="false">Model!$H$30</f>
        <v>0.164859829920591</v>
      </c>
    </row>
    <row r="26" customFormat="false" ht="15" hidden="false" customHeight="false" outlineLevel="0" collapsed="false">
      <c r="B26" s="9" t="s">
        <v>312</v>
      </c>
      <c r="D26" s="33" t="n">
        <f aca="false">$D$9/$D$22-1</f>
        <v>-0.0982928072658436</v>
      </c>
    </row>
    <row r="28" customFormat="false" ht="15" hidden="false" customHeight="false" outlineLevel="0" collapsed="false">
      <c r="B28" s="18" t="s">
        <v>313</v>
      </c>
      <c r="C28" s="19"/>
      <c r="D28" s="19"/>
      <c r="E28" s="19"/>
      <c r="F28" s="19"/>
      <c r="G28" s="19"/>
      <c r="H28" s="19"/>
      <c r="I28" s="19"/>
    </row>
    <row r="29" customFormat="false" ht="15" hidden="false" customHeight="false" outlineLevel="0" collapsed="false">
      <c r="B29" s="9" t="s">
        <v>314</v>
      </c>
      <c r="D29" s="32" t="n">
        <f aca="false">Inputs!$D$87</f>
        <v>20</v>
      </c>
    </row>
    <row r="30" customFormat="false" ht="15" hidden="false" customHeight="false" outlineLevel="0" collapsed="false">
      <c r="B30" s="9" t="s">
        <v>283</v>
      </c>
      <c r="C30" s="20" t="s">
        <v>61</v>
      </c>
      <c r="D30" s="17" t="n">
        <f aca="false">Model!$H$48</f>
        <v>5.05801284230324</v>
      </c>
    </row>
    <row r="31" customFormat="false" ht="15" hidden="false" customHeight="false" outlineLevel="0" collapsed="false">
      <c r="B31" s="26" t="s">
        <v>315</v>
      </c>
      <c r="C31" s="20" t="s">
        <v>61</v>
      </c>
      <c r="D31" s="28" t="n">
        <f aca="false">$D$29*$D$30</f>
        <v>101.160256846065</v>
      </c>
    </row>
    <row r="32" customFormat="false" ht="15" hidden="false" customHeight="false" outlineLevel="0" collapsed="false">
      <c r="B32" s="26" t="s">
        <v>316</v>
      </c>
      <c r="C32" s="20" t="s">
        <v>61</v>
      </c>
      <c r="D32" s="37" t="n">
        <f aca="false">ROUND($D$31,0)</f>
        <v>101</v>
      </c>
    </row>
    <row r="34" customFormat="false" ht="15" hidden="false" customHeight="false" outlineLevel="0" collapsed="false">
      <c r="B34" s="18" t="s">
        <v>317</v>
      </c>
      <c r="C34" s="19"/>
      <c r="D34" s="19"/>
      <c r="E34" s="19"/>
      <c r="F34" s="19"/>
      <c r="G34" s="19"/>
      <c r="H34" s="19"/>
      <c r="I34" s="19"/>
    </row>
    <row r="35" customFormat="false" ht="15" hidden="false" customHeight="false" outlineLevel="0" collapsed="false">
      <c r="B35" s="9" t="s">
        <v>318</v>
      </c>
      <c r="D35" s="32" t="n">
        <f aca="false">Inputs!$D$88</f>
        <v>12.5</v>
      </c>
    </row>
    <row r="36" customFormat="false" ht="15" hidden="false" customHeight="false" outlineLevel="0" collapsed="false">
      <c r="B36" s="9" t="s">
        <v>319</v>
      </c>
      <c r="C36" s="20" t="s">
        <v>78</v>
      </c>
      <c r="D36" s="15" t="n">
        <f aca="false">Model!$H$32</f>
        <v>476.8862843952</v>
      </c>
    </row>
    <row r="37" customFormat="false" ht="15" hidden="false" customHeight="false" outlineLevel="0" collapsed="false">
      <c r="B37" s="9" t="s">
        <v>320</v>
      </c>
      <c r="C37" s="20" t="s">
        <v>78</v>
      </c>
      <c r="D37" s="15" t="n">
        <f aca="false">$D$35*$D$36</f>
        <v>5961.07855494</v>
      </c>
    </row>
    <row r="38" customFormat="false" ht="15" hidden="false" customHeight="false" outlineLevel="0" collapsed="false">
      <c r="B38" s="9" t="s">
        <v>321</v>
      </c>
      <c r="C38" s="20" t="s">
        <v>78</v>
      </c>
      <c r="D38" s="15" t="n">
        <f aca="false">Model!$G$60</f>
        <v>1006.10205312</v>
      </c>
    </row>
    <row r="39" customFormat="false" ht="15" hidden="false" customHeight="false" outlineLevel="0" collapsed="false">
      <c r="B39" s="9" t="s">
        <v>322</v>
      </c>
      <c r="C39" s="20" t="s">
        <v>78</v>
      </c>
      <c r="D39" s="15" t="n">
        <f aca="false">$D$37-$D$38</f>
        <v>4954.97650182</v>
      </c>
    </row>
    <row r="40" customFormat="false" ht="15" hidden="false" customHeight="false" outlineLevel="0" collapsed="false">
      <c r="B40" s="9" t="s">
        <v>323</v>
      </c>
      <c r="C40" s="20" t="s">
        <v>231</v>
      </c>
      <c r="D40" s="16" t="n">
        <f aca="false">Model!$H$41</f>
        <v>54.4</v>
      </c>
    </row>
    <row r="41" customFormat="false" ht="15" hidden="false" customHeight="false" outlineLevel="0" collapsed="false">
      <c r="B41" s="26" t="s">
        <v>324</v>
      </c>
      <c r="C41" s="20" t="s">
        <v>61</v>
      </c>
      <c r="D41" s="28" t="n">
        <f aca="false">$D$39/$D$40</f>
        <v>91.0841268716912</v>
      </c>
    </row>
    <row r="43" customFormat="false" ht="15" hidden="false" customHeight="false" outlineLevel="0" collapsed="false">
      <c r="B43" s="18" t="s">
        <v>325</v>
      </c>
      <c r="C43" s="19"/>
      <c r="D43" s="19"/>
      <c r="E43" s="19"/>
      <c r="F43" s="19"/>
      <c r="G43" s="19"/>
      <c r="H43" s="19"/>
      <c r="I43" s="19"/>
    </row>
    <row r="44" customFormat="false" ht="15" hidden="false" customHeight="false" outlineLevel="0" collapsed="false">
      <c r="B44" s="7" t="s">
        <v>326</v>
      </c>
      <c r="C44" s="8"/>
      <c r="D44" s="8" t="s">
        <v>327</v>
      </c>
      <c r="E44" s="8" t="s">
        <v>328</v>
      </c>
      <c r="F44" s="8" t="s">
        <v>329</v>
      </c>
      <c r="G44" s="8" t="s">
        <v>330</v>
      </c>
    </row>
    <row r="45" customFormat="false" ht="15" hidden="false" customHeight="false" outlineLevel="0" collapsed="false">
      <c r="B45" s="9" t="s">
        <v>331</v>
      </c>
      <c r="D45" s="15" t="n">
        <f aca="false">Model!$H$22</f>
        <v>164.059926912</v>
      </c>
      <c r="E45" s="32" t="n">
        <f aca="false">Inputs!$D$89</f>
        <v>11</v>
      </c>
      <c r="F45" s="15" t="n">
        <f aca="false">D45*E45</f>
        <v>1804.659196032</v>
      </c>
      <c r="G45" s="14" t="n">
        <f aca="false">F45/SUM($F$45:$F$47)</f>
        <v>0.262469550735941</v>
      </c>
    </row>
    <row r="46" customFormat="false" ht="15" hidden="false" customHeight="false" outlineLevel="0" collapsed="false">
      <c r="B46" s="9" t="s">
        <v>332</v>
      </c>
      <c r="D46" s="15" t="n">
        <f aca="false">Model!$H$24</f>
        <v>170.791281</v>
      </c>
      <c r="E46" s="32" t="n">
        <f aca="false">Inputs!$D$90</f>
        <v>18</v>
      </c>
      <c r="F46" s="15" t="n">
        <f aca="false">D46*E46</f>
        <v>3074.243058</v>
      </c>
      <c r="G46" s="14" t="n">
        <f aca="false">F46/SUM($F$45:$F$47)</f>
        <v>0.447117769416247</v>
      </c>
    </row>
    <row r="47" customFormat="false" ht="15" hidden="false" customHeight="false" outlineLevel="0" collapsed="false">
      <c r="B47" s="9" t="s">
        <v>333</v>
      </c>
      <c r="D47" s="15" t="n">
        <f aca="false">Model!$H$26</f>
        <v>124.7992176288</v>
      </c>
      <c r="E47" s="32" t="n">
        <f aca="false">Inputs!$D$91</f>
        <v>16</v>
      </c>
      <c r="F47" s="15" t="n">
        <f aca="false">D47*E47</f>
        <v>1996.7874820608</v>
      </c>
      <c r="G47" s="14" t="n">
        <f aca="false">F47/SUM($F$45:$F$47)</f>
        <v>0.290412679847811</v>
      </c>
    </row>
    <row r="48" customFormat="false" ht="15" hidden="false" customHeight="false" outlineLevel="0" collapsed="false">
      <c r="B48" s="9" t="s">
        <v>334</v>
      </c>
      <c r="F48" s="15" t="n">
        <f aca="false">SUM(F45:F47)</f>
        <v>6875.6897360928</v>
      </c>
    </row>
    <row r="49" customFormat="false" ht="15" hidden="false" customHeight="false" outlineLevel="0" collapsed="false">
      <c r="B49" s="9" t="s">
        <v>335</v>
      </c>
      <c r="D49" s="15" t="n">
        <f aca="false">Model!$H$28</f>
        <v>52</v>
      </c>
      <c r="E49" s="32" t="n">
        <f aca="false">Inputs!$D$92</f>
        <v>12</v>
      </c>
      <c r="F49" s="15" t="n">
        <f aca="false">-D49*E49</f>
        <v>-624</v>
      </c>
    </row>
    <row r="50" customFormat="false" ht="15" hidden="false" customHeight="false" outlineLevel="0" collapsed="false">
      <c r="B50" s="9" t="s">
        <v>320</v>
      </c>
      <c r="C50" s="20" t="s">
        <v>78</v>
      </c>
      <c r="D50" s="15" t="n">
        <f aca="false">$F$48+$F$49</f>
        <v>6251.6897360928</v>
      </c>
    </row>
    <row r="51" customFormat="false" ht="15" hidden="false" customHeight="false" outlineLevel="0" collapsed="false">
      <c r="B51" s="9" t="s">
        <v>336</v>
      </c>
      <c r="C51" s="20" t="s">
        <v>78</v>
      </c>
      <c r="D51" s="15" t="n">
        <f aca="false">$D$50-$D$38</f>
        <v>5245.5876829728</v>
      </c>
    </row>
    <row r="52" customFormat="false" ht="15" hidden="false" customHeight="false" outlineLevel="0" collapsed="false">
      <c r="B52" s="26" t="s">
        <v>337</v>
      </c>
      <c r="C52" s="20" t="s">
        <v>61</v>
      </c>
      <c r="D52" s="28" t="n">
        <f aca="false">$D$51/$D$40</f>
        <v>96.4262441722941</v>
      </c>
    </row>
    <row r="53" customFormat="false" ht="15" hidden="false" customHeight="false" outlineLevel="0" collapsed="false">
      <c r="B53" s="9" t="s">
        <v>338</v>
      </c>
      <c r="D53" s="32" t="n">
        <f aca="false">$D$50/Model!$H$29</f>
        <v>15.335908769871</v>
      </c>
    </row>
    <row r="55" customFormat="false" ht="15" hidden="false" customHeight="false" outlineLevel="0" collapsed="false">
      <c r="B55" s="18" t="s">
        <v>339</v>
      </c>
      <c r="C55" s="19"/>
      <c r="D55" s="19"/>
      <c r="E55" s="19"/>
      <c r="F55" s="19"/>
      <c r="G55" s="19"/>
      <c r="H55" s="19"/>
      <c r="I55" s="19"/>
    </row>
    <row r="56" customFormat="false" ht="15" hidden="false" customHeight="false" outlineLevel="0" collapsed="false">
      <c r="B56" s="9" t="s">
        <v>340</v>
      </c>
      <c r="D56" s="38" t="n">
        <f aca="false">(1-Inputs!$D$100)*Inputs!$D$98+Inputs!$D$100*Inputs!$D$99*(1-Inputs!$D$79)</f>
        <v>0.0781</v>
      </c>
    </row>
    <row r="57" customFormat="false" ht="15" hidden="false" customHeight="false" outlineLevel="0" collapsed="false">
      <c r="B57" s="9" t="s">
        <v>75</v>
      </c>
      <c r="D57" s="14" t="n">
        <f aca="false">Inputs!$D$101</f>
        <v>0.03</v>
      </c>
    </row>
    <row r="58" customFormat="false" ht="15" hidden="false" customHeight="false" outlineLevel="0" collapsed="false">
      <c r="B58" s="9" t="s">
        <v>341</v>
      </c>
      <c r="D58" s="14" t="n">
        <f aca="false">Model!$D$85</f>
        <v>0.190547408279744</v>
      </c>
    </row>
    <row r="59" customFormat="false" ht="15" hidden="false" customHeight="false" outlineLevel="0" collapsed="false">
      <c r="B59" s="7" t="s">
        <v>342</v>
      </c>
      <c r="C59" s="8"/>
      <c r="D59" s="8" t="s">
        <v>26</v>
      </c>
      <c r="E59" s="8" t="s">
        <v>27</v>
      </c>
      <c r="F59" s="8" t="s">
        <v>28</v>
      </c>
      <c r="G59" s="8" t="s">
        <v>343</v>
      </c>
      <c r="H59" s="8" t="s">
        <v>344</v>
      </c>
    </row>
    <row r="60" customFormat="false" ht="15" hidden="false" customHeight="false" outlineLevel="0" collapsed="false">
      <c r="B60" s="9" t="s">
        <v>205</v>
      </c>
      <c r="D60" s="15" t="n">
        <f aca="false">Model!$G$18</f>
        <v>2326.168</v>
      </c>
      <c r="E60" s="15" t="n">
        <f aca="false">Model!$H$18</f>
        <v>2472.7092448</v>
      </c>
      <c r="F60" s="15" t="n">
        <f aca="false">Model!$I$18</f>
        <v>2627.96703228328</v>
      </c>
      <c r="G60" s="15" t="n">
        <f aca="false">F60*(1+G61)</f>
        <v>2759.36538389744</v>
      </c>
      <c r="H60" s="15" t="n">
        <f aca="false">G60*(1+H61)</f>
        <v>2883.53682617283</v>
      </c>
    </row>
    <row r="61" customFormat="false" ht="15" hidden="false" customHeight="false" outlineLevel="0" collapsed="false">
      <c r="B61" s="9" t="s">
        <v>214</v>
      </c>
      <c r="D61" s="14" t="n">
        <f aca="false">Model!$G$19</f>
        <v>0.057349090909091</v>
      </c>
      <c r="E61" s="14" t="n">
        <f aca="false">Model!$H$19</f>
        <v>0.0629968449398324</v>
      </c>
      <c r="F61" s="14" t="n">
        <f aca="false">Model!$I$19</f>
        <v>0.062788533593175</v>
      </c>
      <c r="G61" s="14" t="n">
        <f aca="false">Inputs!$D$104</f>
        <v>0.05</v>
      </c>
      <c r="H61" s="14" t="n">
        <f aca="false">Inputs!$D$107</f>
        <v>0.045</v>
      </c>
    </row>
    <row r="62" customFormat="false" ht="15" hidden="false" customHeight="false" outlineLevel="0" collapsed="false">
      <c r="B62" s="9" t="s">
        <v>345</v>
      </c>
      <c r="D62" s="15" t="n">
        <f aca="false">Model!$G$27</f>
        <v>419.172544</v>
      </c>
      <c r="E62" s="15" t="n">
        <f aca="false">Model!$H$27</f>
        <v>459.6504255408</v>
      </c>
      <c r="F62" s="15" t="n">
        <f aca="false">Model!$I$27</f>
        <v>500.752307046189</v>
      </c>
      <c r="G62" s="15" t="n">
        <f aca="false">G60*$D$58</f>
        <v>525.789922398499</v>
      </c>
      <c r="H62" s="15" t="n">
        <f aca="false">H60*$D$58</f>
        <v>549.450468906431</v>
      </c>
    </row>
    <row r="63" customFormat="false" ht="15" hidden="false" customHeight="false" outlineLevel="0" collapsed="false">
      <c r="B63" s="9" t="s">
        <v>41</v>
      </c>
      <c r="D63" s="15" t="n">
        <f aca="false">Model!$G$28</f>
        <v>50</v>
      </c>
      <c r="E63" s="15" t="n">
        <f aca="false">Model!$H$28</f>
        <v>52</v>
      </c>
      <c r="F63" s="15" t="n">
        <f aca="false">Model!$I$28</f>
        <v>54</v>
      </c>
      <c r="G63" s="15" t="n">
        <f aca="false">Inputs!$D$105</f>
        <v>56</v>
      </c>
      <c r="H63" s="15" t="n">
        <f aca="false">Inputs!$D$108</f>
        <v>58</v>
      </c>
    </row>
    <row r="64" customFormat="false" ht="15" hidden="false" customHeight="false" outlineLevel="0" collapsed="false">
      <c r="B64" s="9" t="s">
        <v>346</v>
      </c>
      <c r="D64" s="15" t="n">
        <f aca="false">D62-D63</f>
        <v>369.172544</v>
      </c>
      <c r="E64" s="15" t="n">
        <f aca="false">E62-E63</f>
        <v>407.6504255408</v>
      </c>
      <c r="F64" s="15" t="n">
        <f aca="false">F62-F63</f>
        <v>446.752307046189</v>
      </c>
      <c r="G64" s="15" t="n">
        <f aca="false">G62-G63</f>
        <v>469.789922398499</v>
      </c>
      <c r="H64" s="15" t="n">
        <f aca="false">H62-H63</f>
        <v>491.450468906431</v>
      </c>
    </row>
    <row r="65" customFormat="false" ht="15" hidden="false" customHeight="false" outlineLevel="0" collapsed="false">
      <c r="B65" s="9" t="s">
        <v>347</v>
      </c>
      <c r="D65" s="15" t="n">
        <f aca="false">Model!$G$33</f>
        <v>38</v>
      </c>
      <c r="E65" s="15" t="n">
        <f aca="false">Model!$H$33</f>
        <v>36</v>
      </c>
      <c r="F65" s="15" t="n">
        <f aca="false">Model!$I$33</f>
        <v>34</v>
      </c>
      <c r="G65" s="15" t="n">
        <f aca="false">Inputs!$D$106</f>
        <v>32</v>
      </c>
      <c r="H65" s="15" t="n">
        <f aca="false">Inputs!$D$109</f>
        <v>30</v>
      </c>
    </row>
    <row r="66" customFormat="false" ht="15" hidden="false" customHeight="false" outlineLevel="0" collapsed="false">
      <c r="B66" s="9" t="s">
        <v>348</v>
      </c>
      <c r="D66" s="15" t="n">
        <f aca="false">D64-D65-Model!$G$34</f>
        <v>319.172544</v>
      </c>
      <c r="E66" s="15" t="n">
        <f aca="false">E64-E65-Model!$H$34</f>
        <v>371.6504255408</v>
      </c>
      <c r="F66" s="15" t="n">
        <f aca="false">F64-F65-Model!$I$34</f>
        <v>412.752307046189</v>
      </c>
      <c r="G66" s="15" t="n">
        <f aca="false">G64-G65</f>
        <v>437.789922398499</v>
      </c>
      <c r="H66" s="15" t="n">
        <f aca="false">H64-H65</f>
        <v>461.450468906431</v>
      </c>
      <c r="I66" s="6" t="s">
        <v>349</v>
      </c>
    </row>
    <row r="67" customFormat="false" ht="15" hidden="false" customHeight="false" outlineLevel="0" collapsed="false">
      <c r="B67" s="9" t="s">
        <v>222</v>
      </c>
      <c r="D67" s="15" t="n">
        <f aca="false">D60*Inputs!$D$80</f>
        <v>65.132704</v>
      </c>
      <c r="E67" s="15" t="n">
        <f aca="false">E60*Inputs!$D$80</f>
        <v>69.2358588544</v>
      </c>
      <c r="F67" s="15" t="n">
        <f aca="false">F60*Inputs!$D$80</f>
        <v>73.5830769039318</v>
      </c>
      <c r="G67" s="15" t="n">
        <f aca="false">G60*Inputs!$D$80</f>
        <v>77.2622307491284</v>
      </c>
      <c r="H67" s="15" t="n">
        <f aca="false">H60*Inputs!$D$80</f>
        <v>80.7390311328392</v>
      </c>
    </row>
    <row r="68" customFormat="false" ht="15" hidden="false" customHeight="false" outlineLevel="0" collapsed="false">
      <c r="B68" s="9" t="s">
        <v>242</v>
      </c>
      <c r="D68" s="15" t="n">
        <f aca="false">D60*Inputs!$D$81</f>
        <v>74.437376</v>
      </c>
      <c r="E68" s="15" t="n">
        <f aca="false">E60*Inputs!$D$81</f>
        <v>79.1266958336</v>
      </c>
      <c r="F68" s="15" t="n">
        <f aca="false">F60*Inputs!$D$81</f>
        <v>84.094945033065</v>
      </c>
      <c r="G68" s="15" t="n">
        <f aca="false">G60*Inputs!$D$81</f>
        <v>88.2996922847182</v>
      </c>
      <c r="H68" s="15" t="n">
        <f aca="false">H60*Inputs!$D$81</f>
        <v>92.2731784375305</v>
      </c>
    </row>
    <row r="69" customFormat="false" ht="15" hidden="false" customHeight="false" outlineLevel="0" collapsed="false">
      <c r="B69" s="9" t="s">
        <v>350</v>
      </c>
      <c r="D69" s="15" t="n">
        <f aca="false">(D60-Model!$F$18)*Inputs!$D$82</f>
        <v>22.71024</v>
      </c>
      <c r="E69" s="15" t="n">
        <f aca="false">(E60-D60)*Inputs!$D$82</f>
        <v>26.377424064</v>
      </c>
      <c r="F69" s="15" t="n">
        <f aca="false">(F60-E60)*Inputs!$D$82</f>
        <v>27.9464017469903</v>
      </c>
      <c r="G69" s="15" t="n">
        <f aca="false">(G60-F60)*Inputs!$D$82</f>
        <v>23.6517032905496</v>
      </c>
      <c r="H69" s="15" t="n">
        <f aca="false">(H60-G60)*Inputs!$D$82</f>
        <v>22.3508596095693</v>
      </c>
    </row>
    <row r="70" customFormat="false" ht="15" hidden="false" customHeight="false" outlineLevel="0" collapsed="false">
      <c r="B70" s="26" t="s">
        <v>351</v>
      </c>
      <c r="D70" s="27" t="n">
        <f aca="false">D66*(1-Inputs!$D$79)+D67+D65-D68-D69</f>
        <v>251.74794688</v>
      </c>
      <c r="E70" s="27" t="n">
        <f aca="false">E66*(1-Inputs!$D$79)+E67+E65-E68-E69</f>
        <v>285.902566623216</v>
      </c>
      <c r="F70" s="27" t="n">
        <f aca="false">F66*(1-Inputs!$D$79)+F67+F65-F68-F69</f>
        <v>313.361006549442</v>
      </c>
      <c r="G70" s="27" t="n">
        <f aca="false">G66*(1-Inputs!$D$79)+G67+G65-G68-G69</f>
        <v>334.409075420705</v>
      </c>
      <c r="H70" s="27" t="n">
        <f aca="false">H66*(1-Inputs!$D$79)+H67+H65-H68-H69</f>
        <v>351.431854143692</v>
      </c>
    </row>
    <row r="71" customFormat="false" ht="15" hidden="false" customHeight="false" outlineLevel="0" collapsed="false">
      <c r="B71" s="9" t="s">
        <v>352</v>
      </c>
      <c r="D71" s="39" t="n">
        <f aca="false">1</f>
        <v>1</v>
      </c>
      <c r="E71" s="39" t="n">
        <f aca="false">D71+1</f>
        <v>2</v>
      </c>
      <c r="F71" s="39" t="n">
        <f aca="false">E71+1</f>
        <v>3</v>
      </c>
      <c r="G71" s="39" t="n">
        <f aca="false">F71+1</f>
        <v>4</v>
      </c>
      <c r="H71" s="39" t="n">
        <f aca="false">G71+1</f>
        <v>5</v>
      </c>
    </row>
    <row r="72" customFormat="false" ht="15" hidden="false" customHeight="false" outlineLevel="0" collapsed="false">
      <c r="B72" s="9" t="s">
        <v>353</v>
      </c>
      <c r="D72" s="40" t="n">
        <f aca="false">1/(1+$D$56)^D71</f>
        <v>0.927557740469344</v>
      </c>
      <c r="E72" s="40" t="n">
        <f aca="false">1/(1+$D$56)^E71</f>
        <v>0.860363361904595</v>
      </c>
      <c r="F72" s="40" t="n">
        <f aca="false">1/(1+$D$56)^F71</f>
        <v>0.798036695950835</v>
      </c>
      <c r="G72" s="40" t="n">
        <f aca="false">1/(1+$D$56)^G71</f>
        <v>0.740225114507778</v>
      </c>
      <c r="H72" s="40" t="n">
        <f aca="false">1/(1+$D$56)^H71</f>
        <v>0.686601534651496</v>
      </c>
    </row>
    <row r="73" customFormat="false" ht="15" hidden="false" customHeight="false" outlineLevel="0" collapsed="false">
      <c r="B73" s="26" t="s">
        <v>354</v>
      </c>
      <c r="D73" s="27" t="n">
        <f aca="false">D70*D72</f>
        <v>233.510756775809</v>
      </c>
      <c r="E73" s="27" t="n">
        <f aca="false">E70*E72</f>
        <v>245.980093397103</v>
      </c>
      <c r="F73" s="27" t="n">
        <f aca="false">F70*F72</f>
        <v>250.073582306545</v>
      </c>
      <c r="G73" s="27" t="n">
        <f aca="false">G70*G72</f>
        <v>247.537996145731</v>
      </c>
      <c r="H73" s="27" t="n">
        <f aca="false">H70*H72</f>
        <v>241.293650380479</v>
      </c>
    </row>
    <row r="75" customFormat="false" ht="15" hidden="false" customHeight="false" outlineLevel="0" collapsed="false">
      <c r="B75" s="9" t="s">
        <v>355</v>
      </c>
      <c r="C75" s="20" t="s">
        <v>78</v>
      </c>
      <c r="D75" s="15" t="n">
        <f aca="false">SUM(D73:H73)</f>
        <v>1218.39607900567</v>
      </c>
    </row>
    <row r="76" customFormat="false" ht="15" hidden="false" customHeight="false" outlineLevel="0" collapsed="false">
      <c r="B76" s="9" t="s">
        <v>356</v>
      </c>
      <c r="C76" s="20" t="s">
        <v>78</v>
      </c>
      <c r="D76" s="15" t="n">
        <f aca="false">H70*(1+$D$57)/($D$56-$D$57)</f>
        <v>7525.46382054059</v>
      </c>
    </row>
    <row r="77" customFormat="false" ht="15" hidden="false" customHeight="false" outlineLevel="0" collapsed="false">
      <c r="B77" s="9" t="s">
        <v>357</v>
      </c>
      <c r="C77" s="20" t="s">
        <v>78</v>
      </c>
      <c r="D77" s="15" t="n">
        <f aca="false">$D$76*H72</f>
        <v>5166.99500814748</v>
      </c>
    </row>
    <row r="78" customFormat="false" ht="15" hidden="false" customHeight="false" outlineLevel="0" collapsed="false">
      <c r="B78" s="9" t="s">
        <v>320</v>
      </c>
      <c r="C78" s="20" t="s">
        <v>78</v>
      </c>
      <c r="D78" s="15" t="n">
        <f aca="false">$D$75+$D$77</f>
        <v>6385.39108715314</v>
      </c>
    </row>
    <row r="79" customFormat="false" ht="15" hidden="false" customHeight="false" outlineLevel="0" collapsed="false">
      <c r="B79" s="9" t="s">
        <v>358</v>
      </c>
      <c r="D79" s="14" t="n">
        <f aca="false">$D$77/$D$78</f>
        <v>0.809190061755657</v>
      </c>
    </row>
    <row r="80" customFormat="false" ht="15" hidden="false" customHeight="false" outlineLevel="0" collapsed="false">
      <c r="B80" s="9" t="s">
        <v>359</v>
      </c>
      <c r="C80" s="20" t="s">
        <v>78</v>
      </c>
      <c r="D80" s="15" t="n">
        <f aca="false">Inputs!$D$103</f>
        <v>1100</v>
      </c>
    </row>
    <row r="81" customFormat="false" ht="15" hidden="false" customHeight="false" outlineLevel="0" collapsed="false">
      <c r="B81" s="9" t="s">
        <v>322</v>
      </c>
      <c r="C81" s="20" t="s">
        <v>78</v>
      </c>
      <c r="D81" s="15" t="n">
        <f aca="false">$D$78-$D$80</f>
        <v>5285.39108715314</v>
      </c>
    </row>
    <row r="82" customFormat="false" ht="15" hidden="false" customHeight="false" outlineLevel="0" collapsed="false">
      <c r="B82" s="9" t="s">
        <v>360</v>
      </c>
      <c r="C82" s="20" t="s">
        <v>231</v>
      </c>
      <c r="D82" s="16" t="n">
        <f aca="false">Inputs!$D$102</f>
        <v>55.6</v>
      </c>
    </row>
    <row r="83" customFormat="false" ht="15" hidden="false" customHeight="false" outlineLevel="0" collapsed="false">
      <c r="B83" s="26" t="s">
        <v>361</v>
      </c>
      <c r="C83" s="20" t="s">
        <v>61</v>
      </c>
      <c r="D83" s="28" t="n">
        <f aca="false">$D$81/$D$82</f>
        <v>95.0609907761357</v>
      </c>
    </row>
    <row r="84" customFormat="false" ht="15" hidden="false" customHeight="false" outlineLevel="0" collapsed="false">
      <c r="B84" s="26" t="s">
        <v>362</v>
      </c>
      <c r="C84" s="20" t="s">
        <v>61</v>
      </c>
      <c r="D84" s="28" t="n">
        <f aca="false">$D$83*(1+Inputs!$D$98)-Model!$G$57</f>
        <v>102.326357964436</v>
      </c>
    </row>
    <row r="86" customFormat="false" ht="15" hidden="false" customHeight="false" outlineLevel="0" collapsed="false">
      <c r="B86" s="18" t="s">
        <v>363</v>
      </c>
      <c r="C86" s="19"/>
      <c r="D86" s="19"/>
      <c r="E86" s="19"/>
      <c r="F86" s="19"/>
      <c r="G86" s="19"/>
      <c r="H86" s="19"/>
      <c r="I86" s="19"/>
    </row>
    <row r="87" customFormat="false" ht="15" hidden="false" customHeight="false" outlineLevel="0" collapsed="false">
      <c r="B87" s="9" t="s">
        <v>364</v>
      </c>
      <c r="C87" s="20" t="s">
        <v>78</v>
      </c>
      <c r="D87" s="15" t="n">
        <f aca="false">Inputs!$D$86*$D$82+$D$80-$D$75</f>
        <v>4674.32392099433</v>
      </c>
    </row>
    <row r="88" customFormat="false" ht="15" hidden="false" customHeight="false" outlineLevel="0" collapsed="false">
      <c r="B88" s="9" t="s">
        <v>365</v>
      </c>
      <c r="C88" s="20" t="s">
        <v>78</v>
      </c>
      <c r="D88" s="15" t="n">
        <f aca="false">$D$87/H72</f>
        <v>6807.91359338706</v>
      </c>
    </row>
    <row r="89" customFormat="false" ht="15" hidden="false" customHeight="false" outlineLevel="0" collapsed="false">
      <c r="B89" s="26" t="s">
        <v>366</v>
      </c>
      <c r="D89" s="41" t="n">
        <f aca="false">($D$88*$D$56-H70)/($D$88+H70)</f>
        <v>0.0251791450518722</v>
      </c>
    </row>
    <row r="90" customFormat="false" ht="15" hidden="false" customHeight="false" outlineLevel="0" collapsed="false">
      <c r="B90" s="9" t="s">
        <v>367</v>
      </c>
      <c r="C90" s="20" t="s">
        <v>61</v>
      </c>
      <c r="D90" s="17" t="n">
        <f aca="false">((Valuation!$D$70/(1+$D$56)^1+Valuation!$E$70/(1+$D$56)^2+Valuation!$F$70/(1+$D$56)^3+Valuation!$G$70/(1+$D$56)^4+Valuation!$H$70/(1+$D$56)^5)+Valuation!$H$70*(1+$D$89)/(($D$56)-($D$89))/(1+$D$56)^5-Inputs!$D$103)/Inputs!$D$102</f>
        <v>86.2</v>
      </c>
    </row>
    <row r="91" customFormat="false" ht="15" hidden="false" customHeight="false" outlineLevel="0" collapsed="false">
      <c r="B91" s="26" t="s">
        <v>368</v>
      </c>
      <c r="D91" s="41" t="n">
        <f aca="false">(D164+E164)/2</f>
        <v>0.0820560448234007</v>
      </c>
    </row>
    <row r="92" customFormat="false" ht="15" hidden="false" customHeight="false" outlineLevel="0" collapsed="false">
      <c r="B92" s="9" t="s">
        <v>369</v>
      </c>
      <c r="C92" s="20" t="s">
        <v>61</v>
      </c>
      <c r="D92" s="17" t="n">
        <f aca="false">((Valuation!$D$70/(1+$D$91)^1+Valuation!$E$70/(1+$D$91)^2+Valuation!$F$70/(1+$D$91)^3+Valuation!$G$70/(1+$D$91)^4+Valuation!$H$70/(1+$D$91)^5)+Valuation!$H$70*(1+$D$57)/(($D$91)-($D$57))/(1+$D$91)^5-Inputs!$D$103)/Inputs!$D$102</f>
        <v>86.2000000000003</v>
      </c>
    </row>
    <row r="94" customFormat="false" ht="15" hidden="false" customHeight="false" outlineLevel="0" collapsed="false">
      <c r="B94" s="18" t="s">
        <v>370</v>
      </c>
      <c r="C94" s="19"/>
      <c r="D94" s="19"/>
      <c r="E94" s="19"/>
      <c r="F94" s="19"/>
      <c r="G94" s="19"/>
      <c r="H94" s="19"/>
      <c r="I94" s="19"/>
    </row>
    <row r="95" customFormat="false" ht="15" hidden="false" customHeight="false" outlineLevel="0" collapsed="false">
      <c r="B95" s="9" t="s">
        <v>371</v>
      </c>
      <c r="C95" s="20" t="s">
        <v>61</v>
      </c>
      <c r="D95" s="17" t="n">
        <f aca="false">MIN($D$41,$D$52,$D$31,$D$84)</f>
        <v>91.0841268716912</v>
      </c>
    </row>
    <row r="96" customFormat="false" ht="15" hidden="false" customHeight="false" outlineLevel="0" collapsed="false">
      <c r="B96" s="9" t="s">
        <v>372</v>
      </c>
      <c r="C96" s="20" t="s">
        <v>61</v>
      </c>
      <c r="D96" s="17" t="n">
        <f aca="false">MAX($D$41,$D$52,$D$31,$D$84)</f>
        <v>102.326357964436</v>
      </c>
    </row>
    <row r="97" customFormat="false" ht="15" hidden="false" customHeight="false" outlineLevel="0" collapsed="false">
      <c r="B97" s="9" t="s">
        <v>373</v>
      </c>
      <c r="D97" s="14" t="n">
        <f aca="false">$D$96/$D$95-1</f>
        <v>0.12342689641831</v>
      </c>
    </row>
    <row r="98" customFormat="false" ht="15" hidden="false" customHeight="false" outlineLevel="0" collapsed="false">
      <c r="B98" s="9" t="s">
        <v>374</v>
      </c>
      <c r="D98" s="14" t="n">
        <f aca="false">$D$31/$D$52-1</f>
        <v>0.0490946496403184</v>
      </c>
    </row>
    <row r="99" customFormat="false" ht="15" hidden="false" customHeight="false" outlineLevel="0" collapsed="false">
      <c r="B99" s="9" t="s">
        <v>375</v>
      </c>
      <c r="D99" s="14" t="n">
        <f aca="false">$D$31/$D$41-1</f>
        <v>0.110624433921045</v>
      </c>
    </row>
    <row r="100" customFormat="false" ht="15" hidden="false" customHeight="false" outlineLevel="0" collapsed="false">
      <c r="B100" s="9" t="s">
        <v>376</v>
      </c>
      <c r="D100" s="32" t="n">
        <f aca="false">($D$32*$D$40+$D$38)/$D$36</f>
        <v>13.6311365326099</v>
      </c>
    </row>
    <row r="102" customFormat="false" ht="15" hidden="false" customHeight="false" outlineLevel="0" collapsed="false">
      <c r="B102" s="18" t="s">
        <v>377</v>
      </c>
      <c r="C102" s="19"/>
      <c r="D102" s="19"/>
      <c r="E102" s="19"/>
      <c r="F102" s="19"/>
      <c r="G102" s="19"/>
      <c r="H102" s="19"/>
      <c r="I102" s="19"/>
    </row>
    <row r="103" customFormat="false" ht="15" hidden="false" customHeight="false" outlineLevel="0" collapsed="false">
      <c r="B103" s="7" t="s">
        <v>378</v>
      </c>
      <c r="C103" s="8"/>
      <c r="D103" s="8" t="s">
        <v>379</v>
      </c>
      <c r="E103" s="8" t="s">
        <v>380</v>
      </c>
      <c r="F103" s="8" t="s">
        <v>381</v>
      </c>
      <c r="G103" s="8" t="s">
        <v>382</v>
      </c>
    </row>
    <row r="104" customFormat="false" ht="15" hidden="false" customHeight="false" outlineLevel="0" collapsed="false">
      <c r="B104" s="9" t="n">
        <v>0</v>
      </c>
      <c r="D104" s="31" t="n">
        <f aca="false">Inputs!$D$101+0.001</f>
        <v>0.031</v>
      </c>
      <c r="E104" s="42" t="n">
        <v>0.2</v>
      </c>
      <c r="F104" s="31" t="n">
        <f aca="false">(D104+E104)/2</f>
        <v>0.1155</v>
      </c>
      <c r="G104" s="17" t="n">
        <f aca="false">((Valuation!$D$70/(1+F104)^1+Valuation!$E$70/(1+F104)^2+Valuation!$F$70/(1+F104)^3+Valuation!$G$70/(1+F104)^4+Valuation!$H$70/(1+F104)^5)+Valuation!$H$70*(1+$D$57)/((F104)-($D$57))/(1+F104)^5-Inputs!$D$103)/Inputs!$D$102</f>
        <v>44.0963504850978</v>
      </c>
    </row>
    <row r="105" customFormat="false" ht="15" hidden="false" customHeight="false" outlineLevel="0" collapsed="false">
      <c r="B105" s="9" t="n">
        <v>1</v>
      </c>
      <c r="D105" s="31" t="n">
        <f aca="false">IF(G104&gt;Inputs!$D$86,F104,D104)</f>
        <v>0.031</v>
      </c>
      <c r="E105" s="31" t="n">
        <f aca="false">IF(G104&gt;Inputs!$D$86,E104,F104)</f>
        <v>0.1155</v>
      </c>
      <c r="F105" s="31" t="n">
        <f aca="false">(D105+E105)/2</f>
        <v>0.07325</v>
      </c>
      <c r="G105" s="17" t="n">
        <f aca="false">((Valuation!$D$70/(1+F105)^1+Valuation!$E$70/(1+F105)^2+Valuation!$F$70/(1+F105)^3+Valuation!$G$70/(1+F105)^4+Valuation!$H$70/(1+F105)^5)+Valuation!$H$70*(1+$D$57)/((F105)-($D$57))/(1+F105)^5-Inputs!$D$103)/Inputs!$D$102</f>
        <v>108.138945160893</v>
      </c>
    </row>
    <row r="106" customFormat="false" ht="15" hidden="false" customHeight="false" outlineLevel="0" collapsed="false">
      <c r="B106" s="9" t="n">
        <v>2</v>
      </c>
      <c r="D106" s="31" t="n">
        <f aca="false">IF(G105&gt;Inputs!$D$86,F105,D105)</f>
        <v>0.07325</v>
      </c>
      <c r="E106" s="31" t="n">
        <f aca="false">IF(G105&gt;Inputs!$D$86,E105,F105)</f>
        <v>0.1155</v>
      </c>
      <c r="F106" s="31" t="n">
        <f aca="false">(D106+E106)/2</f>
        <v>0.094375</v>
      </c>
      <c r="G106" s="17" t="n">
        <f aca="false">((Valuation!$D$70/(1+F106)^1+Valuation!$E$70/(1+F106)^2+Valuation!$F$70/(1+F106)^3+Valuation!$G$70/(1+F106)^4+Valuation!$H$70/(1+F106)^5)+Valuation!$H$70*(1+$D$57)/((F106)-($D$57))/(1+F106)^5-Inputs!$D$103)/Inputs!$D$102</f>
        <v>65.5915938113356</v>
      </c>
    </row>
    <row r="107" customFormat="false" ht="15" hidden="false" customHeight="false" outlineLevel="0" collapsed="false">
      <c r="B107" s="9" t="n">
        <v>3</v>
      </c>
      <c r="D107" s="31" t="n">
        <f aca="false">IF(G106&gt;Inputs!$D$86,F106,D106)</f>
        <v>0.07325</v>
      </c>
      <c r="E107" s="31" t="n">
        <f aca="false">IF(G106&gt;Inputs!$D$86,E106,F106)</f>
        <v>0.094375</v>
      </c>
      <c r="F107" s="31" t="n">
        <f aca="false">(D107+E107)/2</f>
        <v>0.0838125</v>
      </c>
      <c r="G107" s="17" t="n">
        <f aca="false">((Valuation!$D$70/(1+F107)^1+Valuation!$E$70/(1+F107)^2+Valuation!$F$70/(1+F107)^3+Valuation!$G$70/(1+F107)^4+Valuation!$H$70/(1+F107)^5)+Valuation!$H$70*(1+$D$57)/((F107)-($D$57))/(1+F107)^5-Inputs!$D$103)/Inputs!$D$102</f>
        <v>82.6839382676875</v>
      </c>
    </row>
    <row r="108" customFormat="false" ht="15" hidden="false" customHeight="false" outlineLevel="0" collapsed="false">
      <c r="B108" s="9" t="n">
        <v>4</v>
      </c>
      <c r="D108" s="31" t="n">
        <f aca="false">IF(G107&gt;Inputs!$D$86,F107,D107)</f>
        <v>0.07325</v>
      </c>
      <c r="E108" s="31" t="n">
        <f aca="false">IF(G107&gt;Inputs!$D$86,E107,F107)</f>
        <v>0.0838125</v>
      </c>
      <c r="F108" s="31" t="n">
        <f aca="false">(D108+E108)/2</f>
        <v>0.07853125</v>
      </c>
      <c r="G108" s="17" t="n">
        <f aca="false">((Valuation!$D$70/(1+F108)^1+Valuation!$E$70/(1+F108)^2+Valuation!$F$70/(1+F108)^3+Valuation!$G$70/(1+F108)^4+Valuation!$H$70/(1+F108)^5)+Valuation!$H$70*(1+$D$57)/((F108)-($D$57))/(1+F108)^5-Inputs!$D$103)/Inputs!$D$102</f>
        <v>94.0248079293353</v>
      </c>
    </row>
    <row r="109" customFormat="false" ht="15" hidden="false" customHeight="false" outlineLevel="0" collapsed="false">
      <c r="B109" s="9" t="n">
        <v>5</v>
      </c>
      <c r="D109" s="31" t="n">
        <f aca="false">IF(G108&gt;Inputs!$D$86,F108,D108)</f>
        <v>0.07853125</v>
      </c>
      <c r="E109" s="31" t="n">
        <f aca="false">IF(G108&gt;Inputs!$D$86,E108,F108)</f>
        <v>0.0838125</v>
      </c>
      <c r="F109" s="31" t="n">
        <f aca="false">(D109+E109)/2</f>
        <v>0.081171875</v>
      </c>
      <c r="G109" s="17" t="n">
        <f aca="false">((Valuation!$D$70/(1+F109)^1+Valuation!$E$70/(1+F109)^2+Valuation!$F$70/(1+F109)^3+Valuation!$G$70/(1+F109)^4+Valuation!$H$70/(1+F109)^5)+Valuation!$H$70*(1+$D$57)/((F109)-($D$57))/(1+F109)^5-Inputs!$D$103)/Inputs!$D$102</f>
        <v>88.0613849615296</v>
      </c>
    </row>
    <row r="110" customFormat="false" ht="15" hidden="false" customHeight="false" outlineLevel="0" collapsed="false">
      <c r="B110" s="9" t="n">
        <v>6</v>
      </c>
      <c r="D110" s="31" t="n">
        <f aca="false">IF(G109&gt;Inputs!$D$86,F109,D109)</f>
        <v>0.081171875</v>
      </c>
      <c r="E110" s="31" t="n">
        <f aca="false">IF(G109&gt;Inputs!$D$86,E109,F109)</f>
        <v>0.0838125</v>
      </c>
      <c r="F110" s="31" t="n">
        <f aca="false">(D110+E110)/2</f>
        <v>0.0824921875</v>
      </c>
      <c r="G110" s="17" t="n">
        <f aca="false">((Valuation!$D$70/(1+F110)^1+Valuation!$E$70/(1+F110)^2+Valuation!$F$70/(1+F110)^3+Valuation!$G$70/(1+F110)^4+Valuation!$H$70/(1+F110)^5)+Valuation!$H$70*(1+$D$57)/((F110)-($D$57))/(1+F110)^5-Inputs!$D$103)/Inputs!$D$102</f>
        <v>85.3049421600865</v>
      </c>
    </row>
    <row r="111" customFormat="false" ht="15" hidden="false" customHeight="false" outlineLevel="0" collapsed="false">
      <c r="B111" s="9" t="n">
        <v>7</v>
      </c>
      <c r="D111" s="31" t="n">
        <f aca="false">IF(G110&gt;Inputs!$D$86,F110,D110)</f>
        <v>0.081171875</v>
      </c>
      <c r="E111" s="31" t="n">
        <f aca="false">IF(G110&gt;Inputs!$D$86,E110,F110)</f>
        <v>0.0824921875</v>
      </c>
      <c r="F111" s="31" t="n">
        <f aca="false">(D111+E111)/2</f>
        <v>0.08183203125</v>
      </c>
      <c r="G111" s="17" t="n">
        <f aca="false">((Valuation!$D$70/(1+F111)^1+Valuation!$E$70/(1+F111)^2+Valuation!$F$70/(1+F111)^3+Valuation!$G$70/(1+F111)^4+Valuation!$H$70/(1+F111)^5)+Valuation!$H$70*(1+$D$57)/((F111)-($D$57))/(1+F111)^5-Inputs!$D$103)/Inputs!$D$102</f>
        <v>86.665586751118</v>
      </c>
    </row>
    <row r="112" customFormat="false" ht="15" hidden="false" customHeight="false" outlineLevel="0" collapsed="false">
      <c r="B112" s="9" t="n">
        <v>8</v>
      </c>
      <c r="D112" s="31" t="n">
        <f aca="false">IF(G111&gt;Inputs!$D$86,F111,D111)</f>
        <v>0.08183203125</v>
      </c>
      <c r="E112" s="31" t="n">
        <f aca="false">IF(G111&gt;Inputs!$D$86,E111,F111)</f>
        <v>0.0824921875</v>
      </c>
      <c r="F112" s="31" t="n">
        <f aca="false">(D112+E112)/2</f>
        <v>0.082162109375</v>
      </c>
      <c r="G112" s="17" t="n">
        <f aca="false">((Valuation!$D$70/(1+F112)^1+Valuation!$E$70/(1+F112)^2+Valuation!$F$70/(1+F112)^3+Valuation!$G$70/(1+F112)^4+Valuation!$H$70/(1+F112)^5)+Valuation!$H$70*(1+$D$57)/((F112)-($D$57))/(1+F112)^5-Inputs!$D$103)/Inputs!$D$102</f>
        <v>85.980953680099</v>
      </c>
    </row>
    <row r="113" customFormat="false" ht="15" hidden="false" customHeight="false" outlineLevel="0" collapsed="false">
      <c r="B113" s="9" t="n">
        <v>9</v>
      </c>
      <c r="D113" s="31" t="n">
        <f aca="false">IF(G112&gt;Inputs!$D$86,F112,D112)</f>
        <v>0.08183203125</v>
      </c>
      <c r="E113" s="31" t="n">
        <f aca="false">IF(G112&gt;Inputs!$D$86,E112,F112)</f>
        <v>0.082162109375</v>
      </c>
      <c r="F113" s="31" t="n">
        <f aca="false">(D113+E113)/2</f>
        <v>0.0819970703125</v>
      </c>
      <c r="G113" s="17" t="n">
        <f aca="false">((Valuation!$D$70/(1+F113)^1+Valuation!$E$70/(1+F113)^2+Valuation!$F$70/(1+F113)^3+Valuation!$G$70/(1+F113)^4+Valuation!$H$70/(1+F113)^5)+Valuation!$H$70*(1+$D$57)/((F113)-($D$57))/(1+F113)^5-Inputs!$D$103)/Inputs!$D$102</f>
        <v>86.3221822588675</v>
      </c>
    </row>
    <row r="114" customFormat="false" ht="15" hidden="false" customHeight="false" outlineLevel="0" collapsed="false">
      <c r="B114" s="9" t="n">
        <v>10</v>
      </c>
      <c r="D114" s="31" t="n">
        <f aca="false">IF(G113&gt;Inputs!$D$86,F113,D113)</f>
        <v>0.0819970703125</v>
      </c>
      <c r="E114" s="31" t="n">
        <f aca="false">IF(G113&gt;Inputs!$D$86,E113,F113)</f>
        <v>0.082162109375</v>
      </c>
      <c r="F114" s="31" t="n">
        <f aca="false">(D114+E114)/2</f>
        <v>0.08207958984375</v>
      </c>
      <c r="G114" s="17" t="n">
        <f aca="false">((Valuation!$D$70/(1+F114)^1+Valuation!$E$70/(1+F114)^2+Valuation!$F$70/(1+F114)^3+Valuation!$G$70/(1+F114)^4+Valuation!$H$70/(1+F114)^5)+Valuation!$H$70*(1+$D$57)/((F114)-($D$57))/(1+F114)^5-Inputs!$D$103)/Inputs!$D$102</f>
        <v>86.1512972733196</v>
      </c>
    </row>
    <row r="115" customFormat="false" ht="15" hidden="false" customHeight="false" outlineLevel="0" collapsed="false">
      <c r="B115" s="9" t="n">
        <v>11</v>
      </c>
      <c r="D115" s="31" t="n">
        <f aca="false">IF(G114&gt;Inputs!$D$86,F114,D114)</f>
        <v>0.0819970703125</v>
      </c>
      <c r="E115" s="31" t="n">
        <f aca="false">IF(G114&gt;Inputs!$D$86,E114,F114)</f>
        <v>0.08207958984375</v>
      </c>
      <c r="F115" s="31" t="n">
        <f aca="false">(D115+E115)/2</f>
        <v>0.082038330078125</v>
      </c>
      <c r="G115" s="17" t="n">
        <f aca="false">((Valuation!$D$70/(1+F115)^1+Valuation!$E$70/(1+F115)^2+Valuation!$F$70/(1+F115)^3+Valuation!$G$70/(1+F115)^4+Valuation!$H$70/(1+F115)^5)+Valuation!$H$70*(1+$D$57)/((F115)-($D$57))/(1+F115)^5-Inputs!$D$103)/Inputs!$D$102</f>
        <v>86.2366719310656</v>
      </c>
    </row>
    <row r="116" customFormat="false" ht="15" hidden="false" customHeight="false" outlineLevel="0" collapsed="false">
      <c r="B116" s="9" t="n">
        <v>12</v>
      </c>
      <c r="D116" s="31" t="n">
        <f aca="false">IF(G115&gt;Inputs!$D$86,F115,D115)</f>
        <v>0.082038330078125</v>
      </c>
      <c r="E116" s="31" t="n">
        <f aca="false">IF(G115&gt;Inputs!$D$86,E115,F115)</f>
        <v>0.08207958984375</v>
      </c>
      <c r="F116" s="31" t="n">
        <f aca="false">(D116+E116)/2</f>
        <v>0.0820589599609375</v>
      </c>
      <c r="G116" s="17" t="n">
        <f aca="false">((Valuation!$D$70/(1+F116)^1+Valuation!$E$70/(1+F116)^2+Valuation!$F$70/(1+F116)^3+Valuation!$G$70/(1+F116)^4+Valuation!$H$70/(1+F116)^5)+Valuation!$H$70*(1+$D$57)/((F116)-($D$57))/(1+F116)^5-Inputs!$D$103)/Inputs!$D$102</f>
        <v>86.1939676635989</v>
      </c>
    </row>
    <row r="117" customFormat="false" ht="15" hidden="false" customHeight="false" outlineLevel="0" collapsed="false">
      <c r="B117" s="9" t="n">
        <v>13</v>
      </c>
      <c r="D117" s="31" t="n">
        <f aca="false">IF(G116&gt;Inputs!$D$86,F116,D116)</f>
        <v>0.082038330078125</v>
      </c>
      <c r="E117" s="31" t="n">
        <f aca="false">IF(G116&gt;Inputs!$D$86,E116,F116)</f>
        <v>0.0820589599609375</v>
      </c>
      <c r="F117" s="31" t="n">
        <f aca="false">(D117+E117)/2</f>
        <v>0.0820486450195313</v>
      </c>
      <c r="G117" s="17" t="n">
        <f aca="false">((Valuation!$D$70/(1+F117)^1+Valuation!$E$70/(1+F117)^2+Valuation!$F$70/(1+F117)^3+Valuation!$G$70/(1+F117)^4+Valuation!$H$70/(1+F117)^5)+Valuation!$H$70*(1+$D$57)/((F117)-($D$57))/(1+F117)^5-Inputs!$D$103)/Inputs!$D$102</f>
        <v>86.215315560166</v>
      </c>
    </row>
    <row r="118" customFormat="false" ht="15" hidden="false" customHeight="false" outlineLevel="0" collapsed="false">
      <c r="B118" s="9" t="n">
        <v>14</v>
      </c>
      <c r="D118" s="31" t="n">
        <f aca="false">IF(G117&gt;Inputs!$D$86,F117,D117)</f>
        <v>0.0820486450195313</v>
      </c>
      <c r="E118" s="31" t="n">
        <f aca="false">IF(G117&gt;Inputs!$D$86,E117,F117)</f>
        <v>0.0820589599609375</v>
      </c>
      <c r="F118" s="31" t="n">
        <f aca="false">(D118+E118)/2</f>
        <v>0.0820538024902344</v>
      </c>
      <c r="G118" s="17" t="n">
        <f aca="false">((Valuation!$D$70/(1+F118)^1+Valuation!$E$70/(1+F118)^2+Valuation!$F$70/(1+F118)^3+Valuation!$G$70/(1+F118)^4+Valuation!$H$70/(1+F118)^5)+Valuation!$H$70*(1+$D$57)/((F118)-($D$57))/(1+F118)^5-Inputs!$D$103)/Inputs!$D$102</f>
        <v>86.2046405529057</v>
      </c>
    </row>
    <row r="119" customFormat="false" ht="15" hidden="false" customHeight="false" outlineLevel="0" collapsed="false">
      <c r="B119" s="9" t="n">
        <v>15</v>
      </c>
      <c r="D119" s="31" t="n">
        <f aca="false">IF(G118&gt;Inputs!$D$86,F118,D118)</f>
        <v>0.0820538024902344</v>
      </c>
      <c r="E119" s="31" t="n">
        <f aca="false">IF(G118&gt;Inputs!$D$86,E118,F118)</f>
        <v>0.0820589599609375</v>
      </c>
      <c r="F119" s="31" t="n">
        <f aca="false">(D119+E119)/2</f>
        <v>0.082056381225586</v>
      </c>
      <c r="G119" s="17" t="n">
        <f aca="false">((Valuation!$D$70/(1+F119)^1+Valuation!$E$70/(1+F119)^2+Valuation!$F$70/(1+F119)^3+Valuation!$G$70/(1+F119)^4+Valuation!$H$70/(1+F119)^5)+Valuation!$H$70*(1+$D$57)/((F119)-($D$57))/(1+F119)^5-Inputs!$D$103)/Inputs!$D$102</f>
        <v>86.1993038435475</v>
      </c>
    </row>
    <row r="120" customFormat="false" ht="15" hidden="false" customHeight="false" outlineLevel="0" collapsed="false">
      <c r="B120" s="9" t="n">
        <v>16</v>
      </c>
      <c r="D120" s="31" t="n">
        <f aca="false">IF(G119&gt;Inputs!$D$86,F119,D119)</f>
        <v>0.0820538024902344</v>
      </c>
      <c r="E120" s="31" t="n">
        <f aca="false">IF(G119&gt;Inputs!$D$86,E119,F119)</f>
        <v>0.082056381225586</v>
      </c>
      <c r="F120" s="31" t="n">
        <f aca="false">(D120+E120)/2</f>
        <v>0.0820550918579102</v>
      </c>
      <c r="G120" s="17" t="n">
        <f aca="false">((Valuation!$D$70/(1+F120)^1+Valuation!$E$70/(1+F120)^2+Valuation!$F$70/(1+F120)^3+Valuation!$G$70/(1+F120)^4+Valuation!$H$70/(1+F120)^5)+Valuation!$H$70*(1+$D$57)/((F120)-($D$57))/(1+F120)^5-Inputs!$D$103)/Inputs!$D$102</f>
        <v>86.2019721320455</v>
      </c>
    </row>
    <row r="121" customFormat="false" ht="15" hidden="false" customHeight="false" outlineLevel="0" collapsed="false">
      <c r="B121" s="9" t="n">
        <v>17</v>
      </c>
      <c r="D121" s="31" t="n">
        <f aca="false">IF(G120&gt;Inputs!$D$86,F120,D120)</f>
        <v>0.0820550918579102</v>
      </c>
      <c r="E121" s="31" t="n">
        <f aca="false">IF(G120&gt;Inputs!$D$86,E120,F120)</f>
        <v>0.082056381225586</v>
      </c>
      <c r="F121" s="31" t="n">
        <f aca="false">(D121+E121)/2</f>
        <v>0.0820557365417481</v>
      </c>
      <c r="G121" s="17" t="n">
        <f aca="false">((Valuation!$D$70/(1+F121)^1+Valuation!$E$70/(1+F121)^2+Valuation!$F$70/(1+F121)^3+Valuation!$G$70/(1+F121)^4+Valuation!$H$70/(1+F121)^5)+Valuation!$H$70*(1+$D$57)/((F121)-($D$57))/(1+F121)^5-Inputs!$D$103)/Inputs!$D$102</f>
        <v>86.2006379712518</v>
      </c>
    </row>
    <row r="122" customFormat="false" ht="15" hidden="false" customHeight="false" outlineLevel="0" collapsed="false">
      <c r="B122" s="9" t="n">
        <v>18</v>
      </c>
      <c r="D122" s="31" t="n">
        <f aca="false">IF(G121&gt;Inputs!$D$86,F121,D121)</f>
        <v>0.0820557365417481</v>
      </c>
      <c r="E122" s="31" t="n">
        <f aca="false">IF(G121&gt;Inputs!$D$86,E121,F121)</f>
        <v>0.082056381225586</v>
      </c>
      <c r="F122" s="31" t="n">
        <f aca="false">(D122+E122)/2</f>
        <v>0.082056058883667</v>
      </c>
      <c r="G122" s="17" t="n">
        <f aca="false">((Valuation!$D$70/(1+F122)^1+Valuation!$E$70/(1+F122)^2+Valuation!$F$70/(1+F122)^3+Valuation!$G$70/(1+F122)^4+Valuation!$H$70/(1+F122)^5)+Valuation!$H$70*(1+$D$57)/((F122)-($D$57))/(1+F122)^5-Inputs!$D$103)/Inputs!$D$102</f>
        <v>86.1999709032636</v>
      </c>
    </row>
    <row r="123" customFormat="false" ht="15" hidden="false" customHeight="false" outlineLevel="0" collapsed="false">
      <c r="B123" s="9" t="n">
        <v>19</v>
      </c>
      <c r="D123" s="31" t="n">
        <f aca="false">IF(G122&gt;Inputs!$D$86,F122,D122)</f>
        <v>0.0820557365417481</v>
      </c>
      <c r="E123" s="31" t="n">
        <f aca="false">IF(G122&gt;Inputs!$D$86,E122,F122)</f>
        <v>0.082056058883667</v>
      </c>
      <c r="F123" s="31" t="n">
        <f aca="false">(D123+E123)/2</f>
        <v>0.0820558977127075</v>
      </c>
      <c r="G123" s="17" t="n">
        <f aca="false">((Valuation!$D$70/(1+F123)^1+Valuation!$E$70/(1+F123)^2+Valuation!$F$70/(1+F123)^3+Valuation!$G$70/(1+F123)^4+Valuation!$H$70/(1+F123)^5)+Valuation!$H$70*(1+$D$57)/((F123)-($D$57))/(1+F123)^5-Inputs!$D$103)/Inputs!$D$102</f>
        <v>86.2003044362237</v>
      </c>
    </row>
    <row r="124" customFormat="false" ht="15" hidden="false" customHeight="false" outlineLevel="0" collapsed="false">
      <c r="B124" s="9" t="n">
        <v>20</v>
      </c>
      <c r="D124" s="31" t="n">
        <f aca="false">IF(G123&gt;Inputs!$D$86,F123,D123)</f>
        <v>0.0820558977127075</v>
      </c>
      <c r="E124" s="31" t="n">
        <f aca="false">IF(G123&gt;Inputs!$D$86,E123,F123)</f>
        <v>0.082056058883667</v>
      </c>
      <c r="F124" s="31" t="n">
        <f aca="false">(D124+E124)/2</f>
        <v>0.0820559782981873</v>
      </c>
      <c r="G124" s="17" t="n">
        <f aca="false">((Valuation!$D$70/(1+F124)^1+Valuation!$E$70/(1+F124)^2+Valuation!$F$70/(1+F124)^3+Valuation!$G$70/(1+F124)^4+Valuation!$H$70/(1+F124)^5)+Valuation!$H$70*(1+$D$57)/((F124)-($D$57))/(1+F124)^5-Inputs!$D$103)/Inputs!$D$102</f>
        <v>86.2001376694851</v>
      </c>
    </row>
    <row r="125" customFormat="false" ht="15" hidden="false" customHeight="false" outlineLevel="0" collapsed="false">
      <c r="B125" s="9" t="n">
        <v>21</v>
      </c>
      <c r="D125" s="31" t="n">
        <f aca="false">IF(G124&gt;Inputs!$D$86,F124,D124)</f>
        <v>0.0820559782981873</v>
      </c>
      <c r="E125" s="31" t="n">
        <f aca="false">IF(G124&gt;Inputs!$D$86,E124,F124)</f>
        <v>0.082056058883667</v>
      </c>
      <c r="F125" s="31" t="n">
        <f aca="false">(D125+E125)/2</f>
        <v>0.0820560185909271</v>
      </c>
      <c r="G125" s="17" t="n">
        <f aca="false">((Valuation!$D$70/(1+F125)^1+Valuation!$E$70/(1+F125)^2+Valuation!$F$70/(1+F125)^3+Valuation!$G$70/(1+F125)^4+Valuation!$H$70/(1+F125)^5)+Valuation!$H$70*(1+$D$57)/((F125)-($D$57))/(1+F125)^5-Inputs!$D$103)/Inputs!$D$102</f>
        <v>86.2000542863097</v>
      </c>
    </row>
    <row r="126" customFormat="false" ht="15" hidden="false" customHeight="false" outlineLevel="0" collapsed="false">
      <c r="B126" s="9" t="n">
        <v>22</v>
      </c>
      <c r="D126" s="31" t="n">
        <f aca="false">IF(G125&gt;Inputs!$D$86,F125,D125)</f>
        <v>0.0820560185909271</v>
      </c>
      <c r="E126" s="31" t="n">
        <f aca="false">IF(G125&gt;Inputs!$D$86,E125,F125)</f>
        <v>0.082056058883667</v>
      </c>
      <c r="F126" s="31" t="n">
        <f aca="false">(D126+E126)/2</f>
        <v>0.0820560387372971</v>
      </c>
      <c r="G126" s="17" t="n">
        <f aca="false">((Valuation!$D$70/(1+F126)^1+Valuation!$E$70/(1+F126)^2+Valuation!$F$70/(1+F126)^3+Valuation!$G$70/(1+F126)^4+Valuation!$H$70/(1+F126)^5)+Valuation!$H$70*(1+$D$57)/((F126)-($D$57))/(1+F126)^5-Inputs!$D$103)/Inputs!$D$102</f>
        <v>86.2000125947705</v>
      </c>
    </row>
    <row r="127" customFormat="false" ht="15" hidden="false" customHeight="false" outlineLevel="0" collapsed="false">
      <c r="B127" s="9" t="n">
        <v>23</v>
      </c>
      <c r="D127" s="31" t="n">
        <f aca="false">IF(G126&gt;Inputs!$D$86,F126,D126)</f>
        <v>0.0820560387372971</v>
      </c>
      <c r="E127" s="31" t="n">
        <f aca="false">IF(G126&gt;Inputs!$D$86,E126,F126)</f>
        <v>0.082056058883667</v>
      </c>
      <c r="F127" s="31" t="n">
        <f aca="false">(D127+E127)/2</f>
        <v>0.082056048810482</v>
      </c>
      <c r="G127" s="17" t="n">
        <f aca="false">((Valuation!$D$70/(1+F127)^1+Valuation!$E$70/(1+F127)^2+Valuation!$F$70/(1+F127)^3+Valuation!$G$70/(1+F127)^4+Valuation!$H$70/(1+F127)^5)+Valuation!$H$70*(1+$D$57)/((F127)-($D$57))/(1+F127)^5-Inputs!$D$103)/Inputs!$D$102</f>
        <v>86.199991749013</v>
      </c>
    </row>
    <row r="128" customFormat="false" ht="15" hidden="false" customHeight="false" outlineLevel="0" collapsed="false">
      <c r="B128" s="9" t="n">
        <v>24</v>
      </c>
      <c r="D128" s="31" t="n">
        <f aca="false">IF(G127&gt;Inputs!$D$86,F127,D127)</f>
        <v>0.0820560387372971</v>
      </c>
      <c r="E128" s="31" t="n">
        <f aca="false">IF(G127&gt;Inputs!$D$86,E127,F127)</f>
        <v>0.082056048810482</v>
      </c>
      <c r="F128" s="31" t="n">
        <f aca="false">(D128+E128)/2</f>
        <v>0.0820560437738895</v>
      </c>
      <c r="G128" s="17" t="n">
        <f aca="false">((Valuation!$D$70/(1+F128)^1+Valuation!$E$70/(1+F128)^2+Valuation!$F$70/(1+F128)^3+Valuation!$G$70/(1+F128)^4+Valuation!$H$70/(1+F128)^5)+Valuation!$H$70*(1+$D$57)/((F128)-($D$57))/(1+F128)^5-Inputs!$D$103)/Inputs!$D$102</f>
        <v>86.2000021718907</v>
      </c>
    </row>
    <row r="129" customFormat="false" ht="15" hidden="false" customHeight="false" outlineLevel="0" collapsed="false">
      <c r="B129" s="9" t="n">
        <v>25</v>
      </c>
      <c r="D129" s="31" t="n">
        <f aca="false">IF(G128&gt;Inputs!$D$86,F128,D128)</f>
        <v>0.0820560437738895</v>
      </c>
      <c r="E129" s="31" t="n">
        <f aca="false">IF(G128&gt;Inputs!$D$86,E128,F128)</f>
        <v>0.082056048810482</v>
      </c>
      <c r="F129" s="31" t="n">
        <f aca="false">(D129+E129)/2</f>
        <v>0.0820560462921858</v>
      </c>
      <c r="G129" s="17" t="n">
        <f aca="false">((Valuation!$D$70/(1+F129)^1+Valuation!$E$70/(1+F129)^2+Valuation!$F$70/(1+F129)^3+Valuation!$G$70/(1+F129)^4+Valuation!$H$70/(1+F129)^5)+Valuation!$H$70*(1+$D$57)/((F129)-($D$57))/(1+F129)^5-Inputs!$D$103)/Inputs!$D$102</f>
        <v>86.1999969604516</v>
      </c>
    </row>
    <row r="130" customFormat="false" ht="15" hidden="false" customHeight="false" outlineLevel="0" collapsed="false">
      <c r="B130" s="9" t="n">
        <v>26</v>
      </c>
      <c r="D130" s="31" t="n">
        <f aca="false">IF(G129&gt;Inputs!$D$86,F129,D129)</f>
        <v>0.0820560437738895</v>
      </c>
      <c r="E130" s="31" t="n">
        <f aca="false">IF(G129&gt;Inputs!$D$86,E129,F129)</f>
        <v>0.0820560462921858</v>
      </c>
      <c r="F130" s="31" t="n">
        <f aca="false">(D130+E130)/2</f>
        <v>0.0820560450330377</v>
      </c>
      <c r="G130" s="17" t="n">
        <f aca="false">((Valuation!$D$70/(1+F130)^1+Valuation!$E$70/(1+F130)^2+Valuation!$F$70/(1+F130)^3+Valuation!$G$70/(1+F130)^4+Valuation!$H$70/(1+F130)^5)+Valuation!$H$70*(1+$D$57)/((F130)-($D$57))/(1+F130)^5-Inputs!$D$103)/Inputs!$D$102</f>
        <v>86.1999995661711</v>
      </c>
    </row>
    <row r="131" customFormat="false" ht="15" hidden="false" customHeight="false" outlineLevel="0" collapsed="false">
      <c r="B131" s="9" t="n">
        <v>27</v>
      </c>
      <c r="D131" s="31" t="n">
        <f aca="false">IF(G130&gt;Inputs!$D$86,F130,D130)</f>
        <v>0.0820560437738895</v>
      </c>
      <c r="E131" s="31" t="n">
        <f aca="false">IF(G130&gt;Inputs!$D$86,E130,F130)</f>
        <v>0.0820560450330377</v>
      </c>
      <c r="F131" s="31" t="n">
        <f aca="false">(D131+E131)/2</f>
        <v>0.0820560444034636</v>
      </c>
      <c r="G131" s="17" t="n">
        <f aca="false">((Valuation!$D$70/(1+F131)^1+Valuation!$E$70/(1+F131)^2+Valuation!$F$70/(1+F131)^3+Valuation!$G$70/(1+F131)^4+Valuation!$H$70/(1+F131)^5)+Valuation!$H$70*(1+$D$57)/((F131)-($D$57))/(1+F131)^5-Inputs!$D$103)/Inputs!$D$102</f>
        <v>86.2000008690308</v>
      </c>
    </row>
    <row r="132" customFormat="false" ht="15" hidden="false" customHeight="false" outlineLevel="0" collapsed="false">
      <c r="B132" s="9" t="n">
        <v>28</v>
      </c>
      <c r="D132" s="31" t="n">
        <f aca="false">IF(G131&gt;Inputs!$D$86,F131,D131)</f>
        <v>0.0820560444034636</v>
      </c>
      <c r="E132" s="31" t="n">
        <f aca="false">IF(G131&gt;Inputs!$D$86,E131,F131)</f>
        <v>0.0820560450330377</v>
      </c>
      <c r="F132" s="31" t="n">
        <f aca="false">(D132+E132)/2</f>
        <v>0.0820560447182507</v>
      </c>
      <c r="G132" s="17" t="n">
        <f aca="false">((Valuation!$D$70/(1+F132)^1+Valuation!$E$70/(1+F132)^2+Valuation!$F$70/(1+F132)^3+Valuation!$G$70/(1+F132)^4+Valuation!$H$70/(1+F132)^5)+Valuation!$H$70*(1+$D$57)/((F132)-($D$57))/(1+F132)^5-Inputs!$D$103)/Inputs!$D$102</f>
        <v>86.200000217601</v>
      </c>
    </row>
    <row r="133" customFormat="false" ht="15" hidden="false" customHeight="false" outlineLevel="0" collapsed="false">
      <c r="B133" s="9" t="n">
        <v>29</v>
      </c>
      <c r="D133" s="31" t="n">
        <f aca="false">IF(G132&gt;Inputs!$D$86,F132,D132)</f>
        <v>0.0820560447182507</v>
      </c>
      <c r="E133" s="31" t="n">
        <f aca="false">IF(G132&gt;Inputs!$D$86,E132,F132)</f>
        <v>0.0820560450330377</v>
      </c>
      <c r="F133" s="31" t="n">
        <f aca="false">(D133+E133)/2</f>
        <v>0.0820560448756442</v>
      </c>
      <c r="G133" s="17" t="n">
        <f aca="false">((Valuation!$D$70/(1+F133)^1+Valuation!$E$70/(1+F133)^2+Valuation!$F$70/(1+F133)^3+Valuation!$G$70/(1+F133)^4+Valuation!$H$70/(1+F133)^5)+Valuation!$H$70*(1+$D$57)/((F133)-($D$57))/(1+F133)^5-Inputs!$D$103)/Inputs!$D$102</f>
        <v>86.199999891886</v>
      </c>
    </row>
    <row r="134" customFormat="false" ht="15" hidden="false" customHeight="false" outlineLevel="0" collapsed="false">
      <c r="B134" s="9" t="n">
        <v>30</v>
      </c>
      <c r="D134" s="31" t="n">
        <f aca="false">IF(G133&gt;Inputs!$D$86,F133,D133)</f>
        <v>0.0820560447182507</v>
      </c>
      <c r="E134" s="31" t="n">
        <f aca="false">IF(G133&gt;Inputs!$D$86,E133,F133)</f>
        <v>0.0820560448756442</v>
      </c>
      <c r="F134" s="31" t="n">
        <f aca="false">(D134+E134)/2</f>
        <v>0.0820560447969474</v>
      </c>
      <c r="G134" s="17" t="n">
        <f aca="false">((Valuation!$D$70/(1+F134)^1+Valuation!$E$70/(1+F134)^2+Valuation!$F$70/(1+F134)^3+Valuation!$G$70/(1+F134)^4+Valuation!$H$70/(1+F134)^5)+Valuation!$H$70*(1+$D$57)/((F134)-($D$57))/(1+F134)^5-Inputs!$D$103)/Inputs!$D$102</f>
        <v>86.2000000547435</v>
      </c>
    </row>
    <row r="135" customFormat="false" ht="15" hidden="false" customHeight="false" outlineLevel="0" collapsed="false">
      <c r="B135" s="9" t="n">
        <v>31</v>
      </c>
      <c r="D135" s="31" t="n">
        <f aca="false">IF(G134&gt;Inputs!$D$86,F134,D134)</f>
        <v>0.0820560447969474</v>
      </c>
      <c r="E135" s="31" t="n">
        <f aca="false">IF(G134&gt;Inputs!$D$86,E134,F134)</f>
        <v>0.0820560448756442</v>
      </c>
      <c r="F135" s="31" t="n">
        <f aca="false">(D135+E135)/2</f>
        <v>0.0820560448362958</v>
      </c>
      <c r="G135" s="17" t="n">
        <f aca="false">((Valuation!$D$70/(1+F135)^1+Valuation!$E$70/(1+F135)^2+Valuation!$F$70/(1+F135)^3+Valuation!$G$70/(1+F135)^4+Valuation!$H$70/(1+F135)^5)+Valuation!$H$70*(1+$D$57)/((F135)-($D$57))/(1+F135)^5-Inputs!$D$103)/Inputs!$D$102</f>
        <v>86.1999999733148</v>
      </c>
    </row>
    <row r="136" customFormat="false" ht="15" hidden="false" customHeight="false" outlineLevel="0" collapsed="false">
      <c r="B136" s="9" t="n">
        <v>32</v>
      </c>
      <c r="D136" s="31" t="n">
        <f aca="false">IF(G135&gt;Inputs!$D$86,F135,D135)</f>
        <v>0.0820560447969474</v>
      </c>
      <c r="E136" s="31" t="n">
        <f aca="false">IF(G135&gt;Inputs!$D$86,E135,F135)</f>
        <v>0.0820560448362958</v>
      </c>
      <c r="F136" s="31" t="n">
        <f aca="false">(D136+E136)/2</f>
        <v>0.0820560448166216</v>
      </c>
      <c r="G136" s="17" t="n">
        <f aca="false">((Valuation!$D$70/(1+F136)^1+Valuation!$E$70/(1+F136)^2+Valuation!$F$70/(1+F136)^3+Valuation!$G$70/(1+F136)^4+Valuation!$H$70/(1+F136)^5)+Valuation!$H$70*(1+$D$57)/((F136)-($D$57))/(1+F136)^5-Inputs!$D$103)/Inputs!$D$102</f>
        <v>86.2000000140291</v>
      </c>
    </row>
    <row r="137" customFormat="false" ht="15" hidden="false" customHeight="false" outlineLevel="0" collapsed="false">
      <c r="B137" s="9" t="n">
        <v>33</v>
      </c>
      <c r="D137" s="31" t="n">
        <f aca="false">IF(G136&gt;Inputs!$D$86,F136,D136)</f>
        <v>0.0820560448166216</v>
      </c>
      <c r="E137" s="31" t="n">
        <f aca="false">IF(G136&gt;Inputs!$D$86,E136,F136)</f>
        <v>0.0820560448362958</v>
      </c>
      <c r="F137" s="31" t="n">
        <f aca="false">(D137+E137)/2</f>
        <v>0.0820560448264587</v>
      </c>
      <c r="G137" s="17" t="n">
        <f aca="false">((Valuation!$D$70/(1+F137)^1+Valuation!$E$70/(1+F137)^2+Valuation!$F$70/(1+F137)^3+Valuation!$G$70/(1+F137)^4+Valuation!$H$70/(1+F137)^5)+Valuation!$H$70*(1+$D$57)/((F137)-($D$57))/(1+F137)^5-Inputs!$D$103)/Inputs!$D$102</f>
        <v>86.199999993672</v>
      </c>
    </row>
    <row r="138" customFormat="false" ht="15" hidden="false" customHeight="false" outlineLevel="0" collapsed="false">
      <c r="B138" s="9" t="n">
        <v>34</v>
      </c>
      <c r="D138" s="31" t="n">
        <f aca="false">IF(G137&gt;Inputs!$D$86,F137,D137)</f>
        <v>0.0820560448166216</v>
      </c>
      <c r="E138" s="31" t="n">
        <f aca="false">IF(G137&gt;Inputs!$D$86,E137,F137)</f>
        <v>0.0820560448264587</v>
      </c>
      <c r="F138" s="31" t="n">
        <f aca="false">(D138+E138)/2</f>
        <v>0.0820560448215401</v>
      </c>
      <c r="G138" s="17" t="n">
        <f aca="false">((Valuation!$D$70/(1+F138)^1+Valuation!$E$70/(1+F138)^2+Valuation!$F$70/(1+F138)^3+Valuation!$G$70/(1+F138)^4+Valuation!$H$70/(1+F138)^5)+Valuation!$H$70*(1+$D$57)/((F138)-($D$57))/(1+F138)^5-Inputs!$D$103)/Inputs!$D$102</f>
        <v>86.2000000038506</v>
      </c>
    </row>
    <row r="139" customFormat="false" ht="15" hidden="false" customHeight="false" outlineLevel="0" collapsed="false">
      <c r="B139" s="9" t="n">
        <v>35</v>
      </c>
      <c r="D139" s="31" t="n">
        <f aca="false">IF(G138&gt;Inputs!$D$86,F138,D138)</f>
        <v>0.0820560448215401</v>
      </c>
      <c r="E139" s="31" t="n">
        <f aca="false">IF(G138&gt;Inputs!$D$86,E138,F138)</f>
        <v>0.0820560448264587</v>
      </c>
      <c r="F139" s="31" t="n">
        <f aca="false">(D139+E139)/2</f>
        <v>0.0820560448239994</v>
      </c>
      <c r="G139" s="17" t="n">
        <f aca="false">((Valuation!$D$70/(1+F139)^1+Valuation!$E$70/(1+F139)^2+Valuation!$F$70/(1+F139)^3+Valuation!$G$70/(1+F139)^4+Valuation!$H$70/(1+F139)^5)+Valuation!$H$70*(1+$D$57)/((F139)-($D$57))/(1+F139)^5-Inputs!$D$103)/Inputs!$D$102</f>
        <v>86.1999999987613</v>
      </c>
    </row>
    <row r="140" customFormat="false" ht="15" hidden="false" customHeight="false" outlineLevel="0" collapsed="false">
      <c r="B140" s="9" t="n">
        <v>36</v>
      </c>
      <c r="D140" s="31" t="n">
        <f aca="false">IF(G139&gt;Inputs!$D$86,F139,D139)</f>
        <v>0.0820560448215401</v>
      </c>
      <c r="E140" s="31" t="n">
        <f aca="false">IF(G139&gt;Inputs!$D$86,E139,F139)</f>
        <v>0.0820560448239994</v>
      </c>
      <c r="F140" s="31" t="n">
        <f aca="false">(D140+E140)/2</f>
        <v>0.0820560448227698</v>
      </c>
      <c r="G140" s="17" t="n">
        <f aca="false">((Valuation!$D$70/(1+F140)^1+Valuation!$E$70/(1+F140)^2+Valuation!$F$70/(1+F140)^3+Valuation!$G$70/(1+F140)^4+Valuation!$H$70/(1+F140)^5)+Valuation!$H$70*(1+$D$57)/((F140)-($D$57))/(1+F140)^5-Inputs!$D$103)/Inputs!$D$102</f>
        <v>86.2000000013059</v>
      </c>
    </row>
    <row r="141" customFormat="false" ht="15" hidden="false" customHeight="false" outlineLevel="0" collapsed="false">
      <c r="B141" s="9" t="n">
        <v>37</v>
      </c>
      <c r="D141" s="31" t="n">
        <f aca="false">IF(G140&gt;Inputs!$D$86,F140,D140)</f>
        <v>0.0820560448227698</v>
      </c>
      <c r="E141" s="31" t="n">
        <f aca="false">IF(G140&gt;Inputs!$D$86,E140,F140)</f>
        <v>0.0820560448239994</v>
      </c>
      <c r="F141" s="31" t="n">
        <f aca="false">(D141+E141)/2</f>
        <v>0.0820560448233846</v>
      </c>
      <c r="G141" s="17" t="n">
        <f aca="false">((Valuation!$D$70/(1+F141)^1+Valuation!$E$70/(1+F141)^2+Valuation!$F$70/(1+F141)^3+Valuation!$G$70/(1+F141)^4+Valuation!$H$70/(1+F141)^5)+Valuation!$H$70*(1+$D$57)/((F141)-($D$57))/(1+F141)^5-Inputs!$D$103)/Inputs!$D$102</f>
        <v>86.2000000000335</v>
      </c>
    </row>
    <row r="142" customFormat="false" ht="15" hidden="false" customHeight="false" outlineLevel="0" collapsed="false">
      <c r="B142" s="9" t="n">
        <v>38</v>
      </c>
      <c r="D142" s="31" t="n">
        <f aca="false">IF(G141&gt;Inputs!$D$86,F141,D141)</f>
        <v>0.0820560448233846</v>
      </c>
      <c r="E142" s="31" t="n">
        <f aca="false">IF(G141&gt;Inputs!$D$86,E141,F141)</f>
        <v>0.0820560448239994</v>
      </c>
      <c r="F142" s="31" t="n">
        <f aca="false">(D142+E142)/2</f>
        <v>0.082056044823692</v>
      </c>
      <c r="G142" s="17" t="n">
        <f aca="false">((Valuation!$D$70/(1+F142)^1+Valuation!$E$70/(1+F142)^2+Valuation!$F$70/(1+F142)^3+Valuation!$G$70/(1+F142)^4+Valuation!$H$70/(1+F142)^5)+Valuation!$H$70*(1+$D$57)/((F142)-($D$57))/(1+F142)^5-Inputs!$D$103)/Inputs!$D$102</f>
        <v>86.1999999993974</v>
      </c>
    </row>
    <row r="143" customFormat="false" ht="15" hidden="false" customHeight="false" outlineLevel="0" collapsed="false">
      <c r="B143" s="9" t="n">
        <v>39</v>
      </c>
      <c r="D143" s="31" t="n">
        <f aca="false">IF(G142&gt;Inputs!$D$86,F142,D142)</f>
        <v>0.0820560448233846</v>
      </c>
      <c r="E143" s="31" t="n">
        <f aca="false">IF(G142&gt;Inputs!$D$86,E142,F142)</f>
        <v>0.082056044823692</v>
      </c>
      <c r="F143" s="31" t="n">
        <f aca="false">(D143+E143)/2</f>
        <v>0.0820560448235383</v>
      </c>
      <c r="G143" s="17" t="n">
        <f aca="false">((Valuation!$D$70/(1+F143)^1+Valuation!$E$70/(1+F143)^2+Valuation!$F$70/(1+F143)^3+Valuation!$G$70/(1+F143)^4+Valuation!$H$70/(1+F143)^5)+Valuation!$H$70*(1+$D$57)/((F143)-($D$57))/(1+F143)^5-Inputs!$D$103)/Inputs!$D$102</f>
        <v>86.1999999997154</v>
      </c>
    </row>
    <row r="144" customFormat="false" ht="15" hidden="false" customHeight="false" outlineLevel="0" collapsed="false">
      <c r="B144" s="9" t="n">
        <v>40</v>
      </c>
      <c r="D144" s="31" t="n">
        <f aca="false">IF(G143&gt;Inputs!$D$86,F143,D143)</f>
        <v>0.0820560448233846</v>
      </c>
      <c r="E144" s="31" t="n">
        <f aca="false">IF(G143&gt;Inputs!$D$86,E143,F143)</f>
        <v>0.0820560448235383</v>
      </c>
      <c r="F144" s="31" t="n">
        <f aca="false">(D144+E144)/2</f>
        <v>0.0820560448234615</v>
      </c>
      <c r="G144" s="17" t="n">
        <f aca="false">((Valuation!$D$70/(1+F144)^1+Valuation!$E$70/(1+F144)^2+Valuation!$F$70/(1+F144)^3+Valuation!$G$70/(1+F144)^4+Valuation!$H$70/(1+F144)^5)+Valuation!$H$70*(1+$D$57)/((F144)-($D$57))/(1+F144)^5-Inputs!$D$103)/Inputs!$D$102</f>
        <v>86.1999999998745</v>
      </c>
    </row>
    <row r="145" customFormat="false" ht="15" hidden="false" customHeight="false" outlineLevel="0" collapsed="false">
      <c r="B145" s="9" t="n">
        <v>41</v>
      </c>
      <c r="D145" s="31" t="n">
        <f aca="false">IF(G144&gt;Inputs!$D$86,F144,D144)</f>
        <v>0.0820560448233846</v>
      </c>
      <c r="E145" s="31" t="n">
        <f aca="false">IF(G144&gt;Inputs!$D$86,E144,F144)</f>
        <v>0.0820560448234615</v>
      </c>
      <c r="F145" s="31" t="n">
        <f aca="false">(D145+E145)/2</f>
        <v>0.082056044823423</v>
      </c>
      <c r="G145" s="17" t="n">
        <f aca="false">((Valuation!$D$70/(1+F145)^1+Valuation!$E$70/(1+F145)^2+Valuation!$F$70/(1+F145)^3+Valuation!$G$70/(1+F145)^4+Valuation!$H$70/(1+F145)^5)+Valuation!$H$70*(1+$D$57)/((F145)-($D$57))/(1+F145)^5-Inputs!$D$103)/Inputs!$D$102</f>
        <v>86.199999999954</v>
      </c>
    </row>
    <row r="146" customFormat="false" ht="15" hidden="false" customHeight="false" outlineLevel="0" collapsed="false">
      <c r="B146" s="9" t="n">
        <v>42</v>
      </c>
      <c r="D146" s="31" t="n">
        <f aca="false">IF(G145&gt;Inputs!$D$86,F145,D145)</f>
        <v>0.0820560448233846</v>
      </c>
      <c r="E146" s="31" t="n">
        <f aca="false">IF(G145&gt;Inputs!$D$86,E145,F145)</f>
        <v>0.082056044823423</v>
      </c>
      <c r="F146" s="31" t="n">
        <f aca="false">(D146+E146)/2</f>
        <v>0.0820560448234038</v>
      </c>
      <c r="G146" s="17" t="n">
        <f aca="false">((Valuation!$D$70/(1+F146)^1+Valuation!$E$70/(1+F146)^2+Valuation!$F$70/(1+F146)^3+Valuation!$G$70/(1+F146)^4+Valuation!$H$70/(1+F146)^5)+Valuation!$H$70*(1+$D$57)/((F146)-($D$57))/(1+F146)^5-Inputs!$D$103)/Inputs!$D$102</f>
        <v>86.1999999999938</v>
      </c>
    </row>
    <row r="147" customFormat="false" ht="15" hidden="false" customHeight="false" outlineLevel="0" collapsed="false">
      <c r="B147" s="9" t="n">
        <v>43</v>
      </c>
      <c r="D147" s="31" t="n">
        <f aca="false">IF(G146&gt;Inputs!$D$86,F146,D146)</f>
        <v>0.0820560448233846</v>
      </c>
      <c r="E147" s="31" t="n">
        <f aca="false">IF(G146&gt;Inputs!$D$86,E146,F146)</f>
        <v>0.0820560448234038</v>
      </c>
      <c r="F147" s="31" t="n">
        <f aca="false">(D147+E147)/2</f>
        <v>0.0820560448233942</v>
      </c>
      <c r="G147" s="17" t="n">
        <f aca="false">((Valuation!$D$70/(1+F147)^1+Valuation!$E$70/(1+F147)^2+Valuation!$F$70/(1+F147)^3+Valuation!$G$70/(1+F147)^4+Valuation!$H$70/(1+F147)^5)+Valuation!$H$70*(1+$D$57)/((F147)-($D$57))/(1+F147)^5-Inputs!$D$103)/Inputs!$D$102</f>
        <v>86.2000000000137</v>
      </c>
    </row>
    <row r="148" customFormat="false" ht="15" hidden="false" customHeight="false" outlineLevel="0" collapsed="false">
      <c r="B148" s="9" t="n">
        <v>44</v>
      </c>
      <c r="D148" s="31" t="n">
        <f aca="false">IF(G147&gt;Inputs!$D$86,F147,D147)</f>
        <v>0.0820560448233942</v>
      </c>
      <c r="E148" s="31" t="n">
        <f aca="false">IF(G147&gt;Inputs!$D$86,E147,F147)</f>
        <v>0.0820560448234038</v>
      </c>
      <c r="F148" s="31" t="n">
        <f aca="false">(D148+E148)/2</f>
        <v>0.082056044823399</v>
      </c>
      <c r="G148" s="17" t="n">
        <f aca="false">((Valuation!$D$70/(1+F148)^1+Valuation!$E$70/(1+F148)^2+Valuation!$F$70/(1+F148)^3+Valuation!$G$70/(1+F148)^4+Valuation!$H$70/(1+F148)^5)+Valuation!$H$70*(1+$D$57)/((F148)-($D$57))/(1+F148)^5-Inputs!$D$103)/Inputs!$D$102</f>
        <v>86.2000000000038</v>
      </c>
    </row>
    <row r="149" customFormat="false" ht="15" hidden="false" customHeight="false" outlineLevel="0" collapsed="false">
      <c r="B149" s="9" t="n">
        <v>45</v>
      </c>
      <c r="D149" s="31" t="n">
        <f aca="false">IF(G148&gt;Inputs!$D$86,F148,D148)</f>
        <v>0.082056044823399</v>
      </c>
      <c r="E149" s="31" t="n">
        <f aca="false">IF(G148&gt;Inputs!$D$86,E148,F148)</f>
        <v>0.0820560448234038</v>
      </c>
      <c r="F149" s="31" t="n">
        <f aca="false">(D149+E149)/2</f>
        <v>0.0820560448234014</v>
      </c>
      <c r="G149" s="17" t="n">
        <f aca="false">((Valuation!$D$70/(1+F149)^1+Valuation!$E$70/(1+F149)^2+Valuation!$F$70/(1+F149)^3+Valuation!$G$70/(1+F149)^4+Valuation!$H$70/(1+F149)^5)+Valuation!$H$70*(1+$D$57)/((F149)-($D$57))/(1+F149)^5-Inputs!$D$103)/Inputs!$D$102</f>
        <v>86.1999999999988</v>
      </c>
    </row>
    <row r="150" customFormat="false" ht="15" hidden="false" customHeight="false" outlineLevel="0" collapsed="false">
      <c r="B150" s="9" t="n">
        <v>46</v>
      </c>
      <c r="D150" s="31" t="n">
        <f aca="false">IF(G149&gt;Inputs!$D$86,F149,D149)</f>
        <v>0.082056044823399</v>
      </c>
      <c r="E150" s="31" t="n">
        <f aca="false">IF(G149&gt;Inputs!$D$86,E149,F149)</f>
        <v>0.0820560448234014</v>
      </c>
      <c r="F150" s="31" t="n">
        <f aca="false">(D150+E150)/2</f>
        <v>0.0820560448234002</v>
      </c>
      <c r="G150" s="17" t="n">
        <f aca="false">((Valuation!$D$70/(1+F150)^1+Valuation!$E$70/(1+F150)^2+Valuation!$F$70/(1+F150)^3+Valuation!$G$70/(1+F150)^4+Valuation!$H$70/(1+F150)^5)+Valuation!$H$70*(1+$D$57)/((F150)-($D$57))/(1+F150)^5-Inputs!$D$103)/Inputs!$D$102</f>
        <v>86.2000000000013</v>
      </c>
    </row>
    <row r="151" customFormat="false" ht="15" hidden="false" customHeight="false" outlineLevel="0" collapsed="false">
      <c r="B151" s="9" t="n">
        <v>47</v>
      </c>
      <c r="D151" s="31" t="n">
        <f aca="false">IF(G150&gt;Inputs!$D$86,F150,D150)</f>
        <v>0.0820560448234002</v>
      </c>
      <c r="E151" s="31" t="n">
        <f aca="false">IF(G150&gt;Inputs!$D$86,E150,F150)</f>
        <v>0.0820560448234014</v>
      </c>
      <c r="F151" s="31" t="n">
        <f aca="false">(D151+E151)/2</f>
        <v>0.0820560448234008</v>
      </c>
      <c r="G151" s="17" t="n">
        <f aca="false">((Valuation!$D$70/(1+F151)^1+Valuation!$E$70/(1+F151)^2+Valuation!$F$70/(1+F151)^3+Valuation!$G$70/(1+F151)^4+Valuation!$H$70/(1+F151)^5)+Valuation!$H$70*(1+$D$57)/((F151)-($D$57))/(1+F151)^5-Inputs!$D$103)/Inputs!$D$102</f>
        <v>86.2</v>
      </c>
    </row>
    <row r="152" customFormat="false" ht="15" hidden="false" customHeight="false" outlineLevel="0" collapsed="false">
      <c r="B152" s="9" t="n">
        <v>48</v>
      </c>
      <c r="D152" s="31" t="n">
        <f aca="false">IF(G151&gt;Inputs!$D$86,F151,D151)</f>
        <v>0.0820560448234002</v>
      </c>
      <c r="E152" s="31" t="n">
        <f aca="false">IF(G151&gt;Inputs!$D$86,E151,F151)</f>
        <v>0.0820560448234008</v>
      </c>
      <c r="F152" s="31" t="n">
        <f aca="false">(D152+E152)/2</f>
        <v>0.0820560448234005</v>
      </c>
      <c r="G152" s="17" t="n">
        <f aca="false">((Valuation!$D$70/(1+F152)^1+Valuation!$E$70/(1+F152)^2+Valuation!$F$70/(1+F152)^3+Valuation!$G$70/(1+F152)^4+Valuation!$H$70/(1+F152)^5)+Valuation!$H$70*(1+$D$57)/((F152)-($D$57))/(1+F152)^5-Inputs!$D$103)/Inputs!$D$102</f>
        <v>86.2000000000007</v>
      </c>
    </row>
    <row r="153" customFormat="false" ht="15" hidden="false" customHeight="false" outlineLevel="0" collapsed="false">
      <c r="B153" s="9" t="n">
        <v>49</v>
      </c>
      <c r="D153" s="31" t="n">
        <f aca="false">IF(G152&gt;Inputs!$D$86,F152,D152)</f>
        <v>0.0820560448234005</v>
      </c>
      <c r="E153" s="31" t="n">
        <f aca="false">IF(G152&gt;Inputs!$D$86,E152,F152)</f>
        <v>0.0820560448234008</v>
      </c>
      <c r="F153" s="31" t="n">
        <f aca="false">(D153+E153)/2</f>
        <v>0.0820560448234007</v>
      </c>
      <c r="G153" s="17" t="n">
        <f aca="false">((Valuation!$D$70/(1+F153)^1+Valuation!$E$70/(1+F153)^2+Valuation!$F$70/(1+F153)^3+Valuation!$G$70/(1+F153)^4+Valuation!$H$70/(1+F153)^5)+Valuation!$H$70*(1+$D$57)/((F153)-($D$57))/(1+F153)^5-Inputs!$D$103)/Inputs!$D$102</f>
        <v>86.2000000000003</v>
      </c>
    </row>
    <row r="154" customFormat="false" ht="15" hidden="false" customHeight="false" outlineLevel="0" collapsed="false">
      <c r="B154" s="9" t="n">
        <v>50</v>
      </c>
      <c r="D154" s="31" t="n">
        <f aca="false">IF(G153&gt;Inputs!$D$86,F153,D153)</f>
        <v>0.0820560448234007</v>
      </c>
      <c r="E154" s="31" t="n">
        <f aca="false">IF(G153&gt;Inputs!$D$86,E153,F153)</f>
        <v>0.0820560448234008</v>
      </c>
      <c r="F154" s="31" t="n">
        <f aca="false">(D154+E154)/2</f>
        <v>0.0820560448234007</v>
      </c>
      <c r="G154" s="17" t="n">
        <f aca="false">((Valuation!$D$70/(1+F154)^1+Valuation!$E$70/(1+F154)^2+Valuation!$F$70/(1+F154)^3+Valuation!$G$70/(1+F154)^4+Valuation!$H$70/(1+F154)^5)+Valuation!$H$70*(1+$D$57)/((F154)-($D$57))/(1+F154)^5-Inputs!$D$103)/Inputs!$D$102</f>
        <v>86.2000000000002</v>
      </c>
    </row>
    <row r="155" customFormat="false" ht="15" hidden="false" customHeight="false" outlineLevel="0" collapsed="false">
      <c r="B155" s="9" t="n">
        <v>51</v>
      </c>
      <c r="D155" s="31" t="n">
        <f aca="false">IF(G154&gt;Inputs!$D$86,F154,D154)</f>
        <v>0.0820560448234007</v>
      </c>
      <c r="E155" s="31" t="n">
        <f aca="false">IF(G154&gt;Inputs!$D$86,E154,F154)</f>
        <v>0.0820560448234007</v>
      </c>
      <c r="F155" s="31" t="n">
        <f aca="false">(D155+E155)/2</f>
        <v>0.0820560448234007</v>
      </c>
      <c r="G155" s="17" t="n">
        <f aca="false">((Valuation!$D$70/(1+F155)^1+Valuation!$E$70/(1+F155)^2+Valuation!$F$70/(1+F155)^3+Valuation!$G$70/(1+F155)^4+Valuation!$H$70/(1+F155)^5)+Valuation!$H$70*(1+$D$57)/((F155)-($D$57))/(1+F155)^5-Inputs!$D$103)/Inputs!$D$102</f>
        <v>86.2000000000002</v>
      </c>
    </row>
    <row r="156" customFormat="false" ht="15" hidden="false" customHeight="false" outlineLevel="0" collapsed="false">
      <c r="B156" s="9" t="n">
        <v>52</v>
      </c>
      <c r="D156" s="31" t="n">
        <f aca="false">IF(G155&gt;Inputs!$D$86,F155,D155)</f>
        <v>0.0820560448234007</v>
      </c>
      <c r="E156" s="31" t="n">
        <f aca="false">IF(G155&gt;Inputs!$D$86,E155,F155)</f>
        <v>0.0820560448234007</v>
      </c>
      <c r="F156" s="31" t="n">
        <f aca="false">(D156+E156)/2</f>
        <v>0.0820560448234007</v>
      </c>
      <c r="G156" s="17" t="n">
        <f aca="false">((Valuation!$D$70/(1+F156)^1+Valuation!$E$70/(1+F156)^2+Valuation!$F$70/(1+F156)^3+Valuation!$G$70/(1+F156)^4+Valuation!$H$70/(1+F156)^5)+Valuation!$H$70*(1+$D$57)/((F156)-($D$57))/(1+F156)^5-Inputs!$D$103)/Inputs!$D$102</f>
        <v>86.2000000000003</v>
      </c>
    </row>
    <row r="157" customFormat="false" ht="15" hidden="false" customHeight="false" outlineLevel="0" collapsed="false">
      <c r="B157" s="9" t="n">
        <v>53</v>
      </c>
      <c r="D157" s="31" t="n">
        <f aca="false">IF(G156&gt;Inputs!$D$86,F156,D156)</f>
        <v>0.0820560448234007</v>
      </c>
      <c r="E157" s="31" t="n">
        <f aca="false">IF(G156&gt;Inputs!$D$86,E156,F156)</f>
        <v>0.0820560448234007</v>
      </c>
      <c r="F157" s="31" t="n">
        <f aca="false">(D157+E157)/2</f>
        <v>0.0820560448234007</v>
      </c>
      <c r="G157" s="17" t="n">
        <f aca="false">((Valuation!$D$70/(1+F157)^1+Valuation!$E$70/(1+F157)^2+Valuation!$F$70/(1+F157)^3+Valuation!$G$70/(1+F157)^4+Valuation!$H$70/(1+F157)^5)+Valuation!$H$70*(1+$D$57)/((F157)-($D$57))/(1+F157)^5-Inputs!$D$103)/Inputs!$D$102</f>
        <v>86.2000000000003</v>
      </c>
    </row>
    <row r="158" customFormat="false" ht="15" hidden="false" customHeight="false" outlineLevel="0" collapsed="false">
      <c r="B158" s="9" t="n">
        <v>54</v>
      </c>
      <c r="D158" s="31" t="n">
        <f aca="false">IF(G157&gt;Inputs!$D$86,F157,D157)</f>
        <v>0.0820560448234007</v>
      </c>
      <c r="E158" s="31" t="n">
        <f aca="false">IF(G157&gt;Inputs!$D$86,E157,F157)</f>
        <v>0.0820560448234007</v>
      </c>
      <c r="F158" s="31" t="n">
        <f aca="false">(D158+E158)/2</f>
        <v>0.0820560448234007</v>
      </c>
      <c r="G158" s="17" t="n">
        <f aca="false">((Valuation!$D$70/(1+F158)^1+Valuation!$E$70/(1+F158)^2+Valuation!$F$70/(1+F158)^3+Valuation!$G$70/(1+F158)^4+Valuation!$H$70/(1+F158)^5)+Valuation!$H$70*(1+$D$57)/((F158)-($D$57))/(1+F158)^5-Inputs!$D$103)/Inputs!$D$102</f>
        <v>86.2000000000003</v>
      </c>
    </row>
    <row r="159" customFormat="false" ht="15" hidden="false" customHeight="false" outlineLevel="0" collapsed="false">
      <c r="B159" s="9" t="n">
        <v>55</v>
      </c>
      <c r="D159" s="31" t="n">
        <f aca="false">IF(G158&gt;Inputs!$D$86,F158,D158)</f>
        <v>0.0820560448234007</v>
      </c>
      <c r="E159" s="31" t="n">
        <f aca="false">IF(G158&gt;Inputs!$D$86,E158,F158)</f>
        <v>0.0820560448234007</v>
      </c>
      <c r="F159" s="31" t="n">
        <f aca="false">(D159+E159)/2</f>
        <v>0.0820560448234007</v>
      </c>
      <c r="G159" s="17" t="n">
        <f aca="false">((Valuation!$D$70/(1+F159)^1+Valuation!$E$70/(1+F159)^2+Valuation!$F$70/(1+F159)^3+Valuation!$G$70/(1+F159)^4+Valuation!$H$70/(1+F159)^5)+Valuation!$H$70*(1+$D$57)/((F159)-($D$57))/(1+F159)^5-Inputs!$D$103)/Inputs!$D$102</f>
        <v>86.2000000000003</v>
      </c>
    </row>
    <row r="160" customFormat="false" ht="15" hidden="false" customHeight="false" outlineLevel="0" collapsed="false">
      <c r="B160" s="9" t="n">
        <v>56</v>
      </c>
      <c r="D160" s="31" t="n">
        <f aca="false">IF(G159&gt;Inputs!$D$86,F159,D159)</f>
        <v>0.0820560448234007</v>
      </c>
      <c r="E160" s="31" t="n">
        <f aca="false">IF(G159&gt;Inputs!$D$86,E159,F159)</f>
        <v>0.0820560448234007</v>
      </c>
      <c r="F160" s="31" t="n">
        <f aca="false">(D160+E160)/2</f>
        <v>0.0820560448234007</v>
      </c>
      <c r="G160" s="17" t="n">
        <f aca="false">((Valuation!$D$70/(1+F160)^1+Valuation!$E$70/(1+F160)^2+Valuation!$F$70/(1+F160)^3+Valuation!$G$70/(1+F160)^4+Valuation!$H$70/(1+F160)^5)+Valuation!$H$70*(1+$D$57)/((F160)-($D$57))/(1+F160)^5-Inputs!$D$103)/Inputs!$D$102</f>
        <v>86.2000000000003</v>
      </c>
    </row>
    <row r="161" customFormat="false" ht="15" hidden="false" customHeight="false" outlineLevel="0" collapsed="false">
      <c r="B161" s="9" t="n">
        <v>57</v>
      </c>
      <c r="D161" s="31" t="n">
        <f aca="false">IF(G160&gt;Inputs!$D$86,F160,D160)</f>
        <v>0.0820560448234007</v>
      </c>
      <c r="E161" s="31" t="n">
        <f aca="false">IF(G160&gt;Inputs!$D$86,E160,F160)</f>
        <v>0.0820560448234007</v>
      </c>
      <c r="F161" s="31" t="n">
        <f aca="false">(D161+E161)/2</f>
        <v>0.0820560448234007</v>
      </c>
      <c r="G161" s="17" t="n">
        <f aca="false">((Valuation!$D$70/(1+F161)^1+Valuation!$E$70/(1+F161)^2+Valuation!$F$70/(1+F161)^3+Valuation!$G$70/(1+F161)^4+Valuation!$H$70/(1+F161)^5)+Valuation!$H$70*(1+$D$57)/((F161)-($D$57))/(1+F161)^5-Inputs!$D$103)/Inputs!$D$102</f>
        <v>86.2000000000003</v>
      </c>
    </row>
    <row r="162" customFormat="false" ht="15" hidden="false" customHeight="false" outlineLevel="0" collapsed="false">
      <c r="B162" s="9" t="n">
        <v>58</v>
      </c>
      <c r="D162" s="31" t="n">
        <f aca="false">IF(G161&gt;Inputs!$D$86,F161,D161)</f>
        <v>0.0820560448234007</v>
      </c>
      <c r="E162" s="31" t="n">
        <f aca="false">IF(G161&gt;Inputs!$D$86,E161,F161)</f>
        <v>0.0820560448234007</v>
      </c>
      <c r="F162" s="31" t="n">
        <f aca="false">(D162+E162)/2</f>
        <v>0.0820560448234007</v>
      </c>
      <c r="G162" s="17" t="n">
        <f aca="false">((Valuation!$D$70/(1+F162)^1+Valuation!$E$70/(1+F162)^2+Valuation!$F$70/(1+F162)^3+Valuation!$G$70/(1+F162)^4+Valuation!$H$70/(1+F162)^5)+Valuation!$H$70*(1+$D$57)/((F162)-($D$57))/(1+F162)^5-Inputs!$D$103)/Inputs!$D$102</f>
        <v>86.2000000000003</v>
      </c>
    </row>
    <row r="163" customFormat="false" ht="15" hidden="false" customHeight="false" outlineLevel="0" collapsed="false">
      <c r="B163" s="9" t="n">
        <v>59</v>
      </c>
      <c r="D163" s="31" t="n">
        <f aca="false">IF(G162&gt;Inputs!$D$86,F162,D162)</f>
        <v>0.0820560448234007</v>
      </c>
      <c r="E163" s="31" t="n">
        <f aca="false">IF(G162&gt;Inputs!$D$86,E162,F162)</f>
        <v>0.0820560448234007</v>
      </c>
      <c r="F163" s="31" t="n">
        <f aca="false">(D163+E163)/2</f>
        <v>0.0820560448234007</v>
      </c>
      <c r="G163" s="17" t="n">
        <f aca="false">((Valuation!$D$70/(1+F163)^1+Valuation!$E$70/(1+F163)^2+Valuation!$F$70/(1+F163)^3+Valuation!$G$70/(1+F163)^4+Valuation!$H$70/(1+F163)^5)+Valuation!$H$70*(1+$D$57)/((F163)-($D$57))/(1+F163)^5-Inputs!$D$103)/Inputs!$D$102</f>
        <v>86.2000000000003</v>
      </c>
    </row>
    <row r="164" customFormat="false" ht="15" hidden="false" customHeight="false" outlineLevel="0" collapsed="false">
      <c r="B164" s="9" t="n">
        <v>60</v>
      </c>
      <c r="D164" s="31" t="n">
        <f aca="false">IF(G163&gt;Inputs!$D$86,F163,D163)</f>
        <v>0.0820560448234007</v>
      </c>
      <c r="E164" s="31" t="n">
        <f aca="false">IF(G163&gt;Inputs!$D$86,E163,F163)</f>
        <v>0.0820560448234007</v>
      </c>
      <c r="F164" s="31" t="n">
        <f aca="false">(D164+E164)/2</f>
        <v>0.0820560448234007</v>
      </c>
      <c r="G164" s="17" t="n">
        <f aca="false">((Valuation!$D$70/(1+F164)^1+Valuation!$E$70/(1+F164)^2+Valuation!$F$70/(1+F164)^3+Valuation!$G$70/(1+F164)^4+Valuation!$H$70/(1+F164)^5)+Valuation!$H$70*(1+$D$57)/((F164)-($D$57))/(1+F164)^5-Inputs!$D$103)/Inputs!$D$102</f>
        <v>86.2000000000003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I5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3" topLeftCell="D4" activePane="bottomRight" state="frozen"/>
      <selection pane="topLeft" activeCell="A1" activeCellId="0" sqref="A1"/>
      <selection pane="topRight" activeCell="D1" activeCellId="0" sqref="D1"/>
      <selection pane="bottomLeft" activeCell="A4" activeCellId="0" sqref="A4"/>
      <selection pane="bottomRight" activeCell="A1" activeCellId="0" sqref="A1"/>
    </sheetView>
  </sheetViews>
  <sheetFormatPr defaultColWidth="8.558593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8"/>
    <col collapsed="false" customWidth="true" hidden="false" outlineLevel="0" max="3" min="3" style="0" width="9"/>
    <col collapsed="false" customWidth="true" hidden="false" outlineLevel="0" max="9" min="4" style="0" width="12"/>
  </cols>
  <sheetData>
    <row r="1" customFormat="false" ht="6" hidden="false" customHeight="true" outlineLevel="0" collapsed="false"/>
    <row r="2" customFormat="false" ht="17.35" hidden="false" customHeight="false" outlineLevel="0" collapsed="false">
      <c r="B2" s="5" t="s">
        <v>383</v>
      </c>
    </row>
    <row r="3" customFormat="false" ht="15" hidden="false" customHeight="false" outlineLevel="0" collapsed="false">
      <c r="B3" s="6" t="s">
        <v>384</v>
      </c>
    </row>
    <row r="4" customFormat="false" ht="15" hidden="false" customHeight="false" outlineLevel="0" collapsed="false">
      <c r="B4" s="9" t="s">
        <v>385</v>
      </c>
      <c r="D4" s="11" t="n">
        <v>0.01</v>
      </c>
    </row>
    <row r="5" customFormat="false" ht="15" hidden="false" customHeight="false" outlineLevel="0" collapsed="false">
      <c r="B5" s="9" t="s">
        <v>386</v>
      </c>
      <c r="D5" s="11" t="n">
        <v>0.01</v>
      </c>
    </row>
    <row r="6" customFormat="false" ht="15" hidden="false" customHeight="false" outlineLevel="0" collapsed="false">
      <c r="B6" s="9" t="s">
        <v>387</v>
      </c>
      <c r="D6" s="11" t="n">
        <v>0.01</v>
      </c>
    </row>
    <row r="7" customFormat="false" ht="15" hidden="false" customHeight="false" outlineLevel="0" collapsed="false">
      <c r="B7" s="9" t="s">
        <v>388</v>
      </c>
      <c r="D7" s="11" t="n">
        <v>0.02</v>
      </c>
    </row>
    <row r="8" customFormat="false" ht="15" hidden="false" customHeight="false" outlineLevel="0" collapsed="false">
      <c r="B8" s="9" t="s">
        <v>389</v>
      </c>
      <c r="D8" s="14" t="n">
        <f aca="false">Inputs!$D$79+$D$7</f>
        <v>0.25</v>
      </c>
    </row>
    <row r="10" customFormat="false" ht="15" hidden="false" customHeight="false" outlineLevel="0" collapsed="false">
      <c r="B10" s="7" t="s">
        <v>390</v>
      </c>
      <c r="C10" s="8"/>
      <c r="D10" s="8" t="s">
        <v>391</v>
      </c>
      <c r="E10" s="8" t="s">
        <v>392</v>
      </c>
      <c r="F10" s="8" t="s">
        <v>393</v>
      </c>
    </row>
    <row r="11" customFormat="false" ht="15" hidden="false" customHeight="false" outlineLevel="0" collapsed="false">
      <c r="B11" s="26" t="s">
        <v>394</v>
      </c>
      <c r="C11" s="20" t="s">
        <v>61</v>
      </c>
      <c r="D11" s="28" t="n">
        <f aca="false">Model!$H$48</f>
        <v>5.05801284230324</v>
      </c>
    </row>
    <row r="12" customFormat="false" ht="15" hidden="false" customHeight="false" outlineLevel="0" collapsed="false">
      <c r="B12" s="9" t="s">
        <v>395</v>
      </c>
      <c r="C12" s="20" t="s">
        <v>61</v>
      </c>
      <c r="D12" s="17" t="n">
        <f aca="false">$H$96</f>
        <v>5.10365724738779</v>
      </c>
      <c r="E12" s="43" t="n">
        <f aca="false">D12-$D$11</f>
        <v>0.045644405084559</v>
      </c>
      <c r="F12" s="33" t="n">
        <f aca="false">D12/$D$11-1</f>
        <v>0.00902417738104711</v>
      </c>
    </row>
    <row r="13" customFormat="false" ht="15" hidden="false" customHeight="false" outlineLevel="0" collapsed="false">
      <c r="B13" s="9" t="s">
        <v>396</v>
      </c>
      <c r="C13" s="20" t="s">
        <v>61</v>
      </c>
      <c r="D13" s="17" t="n">
        <f aca="false">$H$161</f>
        <v>5.10332729678265</v>
      </c>
      <c r="E13" s="43" t="n">
        <f aca="false">D13-$D$11</f>
        <v>0.0453144544794126</v>
      </c>
      <c r="F13" s="33" t="n">
        <f aca="false">D13/$D$11-1</f>
        <v>0.00895894413324139</v>
      </c>
    </row>
    <row r="14" customFormat="false" ht="15" hidden="false" customHeight="false" outlineLevel="0" collapsed="false">
      <c r="B14" s="9" t="s">
        <v>397</v>
      </c>
      <c r="C14" s="20" t="s">
        <v>61</v>
      </c>
      <c r="D14" s="17" t="n">
        <f aca="false">$H$226</f>
        <v>5.09207446139927</v>
      </c>
      <c r="E14" s="43" t="n">
        <f aca="false">D14-$D$11</f>
        <v>0.0340616190960299</v>
      </c>
      <c r="F14" s="33" t="n">
        <f aca="false">D14/$D$11-1</f>
        <v>0.00673418991963648</v>
      </c>
    </row>
    <row r="15" customFormat="false" ht="15" hidden="false" customHeight="false" outlineLevel="0" collapsed="false">
      <c r="B15" s="9" t="s">
        <v>398</v>
      </c>
      <c r="C15" s="20" t="s">
        <v>61</v>
      </c>
      <c r="D15" s="17" t="n">
        <f aca="false">$H$291</f>
        <v>5.16924439825912</v>
      </c>
      <c r="E15" s="43" t="n">
        <f aca="false">D15-$D$11</f>
        <v>0.111231555955883</v>
      </c>
      <c r="F15" s="33" t="n">
        <f aca="false">D15/$D$11-1</f>
        <v>0.0219911572832687</v>
      </c>
    </row>
    <row r="16" customFormat="false" ht="15" hidden="false" customHeight="false" outlineLevel="0" collapsed="false">
      <c r="B16" s="9" t="s">
        <v>399</v>
      </c>
      <c r="C16" s="20" t="s">
        <v>61</v>
      </c>
      <c r="D16" s="17" t="n">
        <f aca="false">$H$356</f>
        <v>5.23507929238412</v>
      </c>
      <c r="E16" s="43" t="n">
        <f aca="false">D16-$D$11</f>
        <v>0.177066450080883</v>
      </c>
      <c r="F16" s="33" t="n">
        <f aca="false">D16/$D$11-1</f>
        <v>0.0350071175383282</v>
      </c>
    </row>
    <row r="17" customFormat="false" ht="15" hidden="false" customHeight="false" outlineLevel="0" collapsed="false">
      <c r="B17" s="9" t="s">
        <v>400</v>
      </c>
      <c r="C17" s="20" t="s">
        <v>61</v>
      </c>
      <c r="D17" s="17" t="n">
        <f aca="false">$H$421</f>
        <v>5.13238861730618</v>
      </c>
      <c r="E17" s="43" t="n">
        <f aca="false">D17-$D$11</f>
        <v>0.0743757750029408</v>
      </c>
      <c r="F17" s="33" t="n">
        <f aca="false">D17/$D$11-1</f>
        <v>0.0147045445161569</v>
      </c>
    </row>
    <row r="18" customFormat="false" ht="15" hidden="false" customHeight="false" outlineLevel="0" collapsed="false">
      <c r="B18" s="9" t="s">
        <v>401</v>
      </c>
      <c r="C18" s="20" t="s">
        <v>61</v>
      </c>
      <c r="D18" s="17" t="n">
        <f aca="false">$H$486</f>
        <v>5.18479645120088</v>
      </c>
      <c r="E18" s="43" t="n">
        <f aca="false">D18-$D$11</f>
        <v>0.126783608897648</v>
      </c>
      <c r="F18" s="33" t="n">
        <f aca="false">D18/$D$11-1</f>
        <v>0.0250658930395113</v>
      </c>
    </row>
    <row r="19" customFormat="false" ht="15" hidden="false" customHeight="false" outlineLevel="0" collapsed="false">
      <c r="B19" s="9" t="s">
        <v>402</v>
      </c>
      <c r="C19" s="20" t="s">
        <v>61</v>
      </c>
      <c r="D19" s="17" t="n">
        <f aca="false">$H$551</f>
        <v>4.92299380065441</v>
      </c>
      <c r="E19" s="43" t="n">
        <f aca="false">D19-$D$11</f>
        <v>-0.135019041648822</v>
      </c>
      <c r="F19" s="33" t="n">
        <f aca="false">D19/$D$11-1</f>
        <v>-0.0266940883422786</v>
      </c>
    </row>
    <row r="22" customFormat="false" ht="15" hidden="false" customHeight="false" outlineLevel="0" collapsed="false">
      <c r="B22" s="7" t="s">
        <v>403</v>
      </c>
      <c r="C22" s="8"/>
      <c r="D22" s="8" t="s">
        <v>404</v>
      </c>
      <c r="E22" s="8" t="s">
        <v>405</v>
      </c>
      <c r="F22" s="8" t="s">
        <v>406</v>
      </c>
      <c r="G22" s="8" t="s">
        <v>407</v>
      </c>
      <c r="H22" s="8" t="s">
        <v>408</v>
      </c>
    </row>
    <row r="23" customFormat="false" ht="15" hidden="false" customHeight="false" outlineLevel="0" collapsed="false">
      <c r="B23" s="9" t="s">
        <v>409</v>
      </c>
      <c r="D23" s="22" t="n">
        <v>-0.1</v>
      </c>
      <c r="E23" s="22" t="n">
        <v>-0.05</v>
      </c>
      <c r="F23" s="22" t="n">
        <v>0</v>
      </c>
      <c r="G23" s="22" t="n">
        <v>0.05</v>
      </c>
      <c r="H23" s="22" t="n">
        <v>0.1</v>
      </c>
    </row>
    <row r="24" customFormat="false" ht="15" hidden="false" customHeight="false" outlineLevel="0" collapsed="false">
      <c r="B24" s="9" t="s">
        <v>410</v>
      </c>
      <c r="C24" s="44" t="n">
        <v>17</v>
      </c>
      <c r="D24" s="17" t="n">
        <f aca="false">$C24*Model!$H$48*(1+D$23)</f>
        <v>77.3875964872395</v>
      </c>
      <c r="E24" s="17" t="n">
        <f aca="false">$C24*Model!$H$48*(1+E$23)</f>
        <v>81.6869074031973</v>
      </c>
      <c r="F24" s="17" t="n">
        <f aca="false">$C24*Model!$H$48*(1+F$23)</f>
        <v>85.986218319155</v>
      </c>
      <c r="G24" s="17" t="n">
        <f aca="false">$C24*Model!$H$48*(1+G$23)</f>
        <v>90.2855292351128</v>
      </c>
      <c r="H24" s="17" t="n">
        <f aca="false">$C24*Model!$H$48*(1+H$23)</f>
        <v>94.5848401510705</v>
      </c>
    </row>
    <row r="25" customFormat="false" ht="15" hidden="false" customHeight="false" outlineLevel="0" collapsed="false">
      <c r="B25" s="9" t="s">
        <v>410</v>
      </c>
      <c r="C25" s="44" t="n">
        <v>18</v>
      </c>
      <c r="D25" s="17" t="n">
        <f aca="false">$C25*Model!$H$48*(1+D$23)</f>
        <v>81.9398080453124</v>
      </c>
      <c r="E25" s="17" t="n">
        <f aca="false">$C25*Model!$H$48*(1+E$23)</f>
        <v>86.4920196033853</v>
      </c>
      <c r="F25" s="17" t="n">
        <f aca="false">$C25*Model!$H$48*(1+F$23)</f>
        <v>91.0442311614582</v>
      </c>
      <c r="G25" s="17" t="n">
        <f aca="false">$C25*Model!$H$48*(1+G$23)</f>
        <v>95.5964427195311</v>
      </c>
      <c r="H25" s="17" t="n">
        <f aca="false">$C25*Model!$H$48*(1+H$23)</f>
        <v>100.148654277604</v>
      </c>
    </row>
    <row r="26" customFormat="false" ht="15" hidden="false" customHeight="false" outlineLevel="0" collapsed="false">
      <c r="B26" s="9" t="s">
        <v>410</v>
      </c>
      <c r="C26" s="44" t="n">
        <v>19</v>
      </c>
      <c r="D26" s="17" t="n">
        <f aca="false">$C26*Model!$H$48*(1+D$23)</f>
        <v>86.4920196033853</v>
      </c>
      <c r="E26" s="17" t="n">
        <f aca="false">$C26*Model!$H$48*(1+E$23)</f>
        <v>91.2971318035734</v>
      </c>
      <c r="F26" s="17" t="n">
        <f aca="false">$C26*Model!$H$48*(1+F$23)</f>
        <v>96.1022440037615</v>
      </c>
      <c r="G26" s="17" t="n">
        <f aca="false">$C26*Model!$H$48*(1+G$23)</f>
        <v>100.90735620395</v>
      </c>
      <c r="H26" s="17" t="n">
        <f aca="false">$C26*Model!$H$48*(1+H$23)</f>
        <v>105.712468404138</v>
      </c>
    </row>
    <row r="27" customFormat="false" ht="15" hidden="false" customHeight="false" outlineLevel="0" collapsed="false">
      <c r="B27" s="9" t="s">
        <v>410</v>
      </c>
      <c r="C27" s="44" t="n">
        <v>20</v>
      </c>
      <c r="D27" s="17" t="n">
        <f aca="false">$C27*Model!$H$48*(1+D$23)</f>
        <v>91.0442311614582</v>
      </c>
      <c r="E27" s="17" t="n">
        <f aca="false">$C27*Model!$H$48*(1+E$23)</f>
        <v>96.1022440037615</v>
      </c>
      <c r="F27" s="17" t="n">
        <f aca="false">$C27*Model!$H$48*(1+F$23)</f>
        <v>101.160256846065</v>
      </c>
      <c r="G27" s="17" t="n">
        <f aca="false">$C27*Model!$H$48*(1+G$23)</f>
        <v>106.218269688368</v>
      </c>
      <c r="H27" s="17" t="n">
        <f aca="false">$C27*Model!$H$48*(1+H$23)</f>
        <v>111.276282530671</v>
      </c>
    </row>
    <row r="28" customFormat="false" ht="15" hidden="false" customHeight="false" outlineLevel="0" collapsed="false">
      <c r="B28" s="9" t="s">
        <v>410</v>
      </c>
      <c r="C28" s="44" t="n">
        <v>21</v>
      </c>
      <c r="D28" s="17" t="n">
        <f aca="false">$C28*Model!$H$48*(1+D$23)</f>
        <v>95.5964427195312</v>
      </c>
      <c r="E28" s="17" t="n">
        <f aca="false">$C28*Model!$H$48*(1+E$23)</f>
        <v>100.90735620395</v>
      </c>
      <c r="F28" s="17" t="n">
        <f aca="false">$C28*Model!$H$48*(1+F$23)</f>
        <v>106.218269688368</v>
      </c>
      <c r="G28" s="17" t="n">
        <f aca="false">$C28*Model!$H$48*(1+G$23)</f>
        <v>111.529183172786</v>
      </c>
      <c r="H28" s="17" t="n">
        <f aca="false">$C28*Model!$H$48*(1+H$23)</f>
        <v>116.840096657205</v>
      </c>
    </row>
    <row r="29" customFormat="false" ht="15" hidden="false" customHeight="false" outlineLevel="0" collapsed="false">
      <c r="B29" s="9" t="s">
        <v>410</v>
      </c>
      <c r="C29" s="44" t="n">
        <v>22</v>
      </c>
      <c r="D29" s="17" t="n">
        <f aca="false">$C29*Model!$H$48*(1+D$23)</f>
        <v>100.148654277604</v>
      </c>
      <c r="E29" s="17" t="n">
        <f aca="false">$C29*Model!$H$48*(1+E$23)</f>
        <v>105.712468404138</v>
      </c>
      <c r="F29" s="17" t="n">
        <f aca="false">$C29*Model!$H$48*(1+F$23)</f>
        <v>111.276282530671</v>
      </c>
      <c r="G29" s="17" t="n">
        <f aca="false">$C29*Model!$H$48*(1+G$23)</f>
        <v>116.840096657205</v>
      </c>
      <c r="H29" s="17" t="n">
        <f aca="false">$C29*Model!$H$48*(1+H$23)</f>
        <v>122.403910783738</v>
      </c>
    </row>
    <row r="30" customFormat="false" ht="15" hidden="false" customHeight="false" outlineLevel="0" collapsed="false">
      <c r="B30" s="9" t="s">
        <v>410</v>
      </c>
      <c r="C30" s="44" t="n">
        <v>23</v>
      </c>
      <c r="D30" s="17" t="n">
        <f aca="false">$C30*Model!$H$48*(1+D$23)</f>
        <v>104.700865835677</v>
      </c>
      <c r="E30" s="17" t="n">
        <f aca="false">$C30*Model!$H$48*(1+E$23)</f>
        <v>110.517580604326</v>
      </c>
      <c r="F30" s="17" t="n">
        <f aca="false">$C30*Model!$H$48*(1+F$23)</f>
        <v>116.334295372974</v>
      </c>
      <c r="G30" s="17" t="n">
        <f aca="false">$C30*Model!$H$48*(1+G$23)</f>
        <v>122.151010141623</v>
      </c>
      <c r="H30" s="17" t="n">
        <f aca="false">$C30*Model!$H$48*(1+H$23)</f>
        <v>127.967724910272</v>
      </c>
    </row>
    <row r="32" customFormat="false" ht="15" hidden="false" customHeight="false" outlineLevel="0" collapsed="false">
      <c r="B32" s="7" t="s">
        <v>411</v>
      </c>
      <c r="C32" s="8"/>
      <c r="D32" s="8"/>
      <c r="E32" s="8"/>
      <c r="F32" s="8"/>
      <c r="G32" s="8"/>
      <c r="H32" s="8"/>
    </row>
    <row r="33" customFormat="false" ht="15" hidden="false" customHeight="false" outlineLevel="0" collapsed="false">
      <c r="B33" s="9" t="s">
        <v>412</v>
      </c>
      <c r="D33" s="11" t="n">
        <v>0.02</v>
      </c>
      <c r="E33" s="11" t="n">
        <v>0.025</v>
      </c>
      <c r="F33" s="11" t="n">
        <v>0.03</v>
      </c>
      <c r="G33" s="11" t="n">
        <v>0.035</v>
      </c>
      <c r="H33" s="11" t="n">
        <v>0.04</v>
      </c>
    </row>
    <row r="34" customFormat="false" ht="15" hidden="false" customHeight="false" outlineLevel="0" collapsed="false">
      <c r="B34" s="9" t="s">
        <v>413</v>
      </c>
      <c r="C34" s="45" t="n">
        <v>0.07</v>
      </c>
      <c r="D34" s="17" t="n">
        <f aca="false">((Valuation!$D$70/(1+$C34)^1+Valuation!$E$70/(1+$C34)^2+Valuation!$F$70/(1+$C34)^3+Valuation!$G$70/(1+$C34)^4+Valuation!$H$70/(1+$C34)^5)+Valuation!$H$70*(1+D$33)/(($C34)-(D$33))/(1+$C34)^5-Inputs!$D$103)/Inputs!$D$102</f>
        <v>94.5688024069061</v>
      </c>
      <c r="E34" s="17" t="n">
        <f aca="false">((Valuation!$D$70/(1+$C34)^1+Valuation!$E$70/(1+$C34)^2+Valuation!$F$70/(1+$C34)^3+Valuation!$G$70/(1+$C34)^4+Valuation!$H$70/(1+$C34)^5)+Valuation!$H$70*(1+E$33)/(($C34)-(E$33))/(1+$C34)^5-Inputs!$D$103)/Inputs!$D$102</f>
        <v>105.284457038689</v>
      </c>
      <c r="F34" s="17" t="n">
        <f aca="false">((Valuation!$D$70/(1+$C34)^1+Valuation!$E$70/(1+$C34)^2+Valuation!$F$70/(1+$C34)^3+Valuation!$G$70/(1+$C34)^4+Valuation!$H$70/(1+$C34)^5)+Valuation!$H$70*(1+F$33)/(($C34)-(F$33))/(1+$C34)^5-Inputs!$D$103)/Inputs!$D$102</f>
        <v>118.679025328417</v>
      </c>
      <c r="G34" s="17" t="n">
        <f aca="false">((Valuation!$D$70/(1+$C34)^1+Valuation!$E$70/(1+$C34)^2+Valuation!$F$70/(1+$C34)^3+Valuation!$G$70/(1+$C34)^4+Valuation!$H$70/(1+$C34)^5)+Valuation!$H$70*(1+G$33)/(($C34)-(G$33))/(1+$C34)^5-Inputs!$D$103)/Inputs!$D$102</f>
        <v>135.900613129497</v>
      </c>
      <c r="H34" s="17" t="n">
        <f aca="false">((Valuation!$D$70/(1+$C34)^1+Valuation!$E$70/(1+$C34)^2+Valuation!$F$70/(1+$C34)^3+Valuation!$G$70/(1+$C34)^4+Valuation!$H$70/(1+$C34)^5)+Valuation!$H$70*(1+H$33)/(($C34)-(H$33))/(1+$C34)^5-Inputs!$D$103)/Inputs!$D$102</f>
        <v>158.862730197603</v>
      </c>
    </row>
    <row r="35" customFormat="false" ht="15" hidden="false" customHeight="false" outlineLevel="0" collapsed="false">
      <c r="B35" s="9" t="s">
        <v>413</v>
      </c>
      <c r="C35" s="45" t="n">
        <v>0.075</v>
      </c>
      <c r="D35" s="17" t="n">
        <f aca="false">((Valuation!$D$70/(1+$C35)^1+Valuation!$E$70/(1+$C35)^2+Valuation!$F$70/(1+$C35)^3+Valuation!$G$70/(1+$C35)^4+Valuation!$H$70/(1+$C35)^5)+Valuation!$H$70*(1+D$33)/(($C35)-(D$33))/(1+$C35)^5-Inputs!$D$103)/Inputs!$D$102</f>
        <v>83.9716229512906</v>
      </c>
      <c r="E35" s="17" t="n">
        <f aca="false">((Valuation!$D$70/(1+$C35)^1+Valuation!$E$70/(1+$C35)^2+Valuation!$F$70/(1+$C35)^3+Valuation!$G$70/(1+$C35)^4+Valuation!$H$70/(1+$C35)^5)+Valuation!$H$70*(1+E$33)/(($C35)-(E$33))/(1+$C35)^5-Inputs!$D$103)/Inputs!$D$102</f>
        <v>92.5769976590437</v>
      </c>
      <c r="F35" s="17" t="n">
        <f aca="false">((Valuation!$D$70/(1+$C35)^1+Valuation!$E$70/(1+$C35)^2+Valuation!$F$70/(1+$C35)^3+Valuation!$G$70/(1+$C35)^4+Valuation!$H$70/(1+$C35)^5)+Valuation!$H$70*(1+F$33)/(($C35)-(F$33))/(1+$C35)^5-Inputs!$D$103)/Inputs!$D$102</f>
        <v>103.094677857409</v>
      </c>
      <c r="G35" s="17" t="n">
        <f aca="false">((Valuation!$D$70/(1+$C35)^1+Valuation!$E$70/(1+$C35)^2+Valuation!$F$70/(1+$C35)^3+Valuation!$G$70/(1+$C35)^4+Valuation!$H$70/(1+$C35)^5)+Valuation!$H$70*(1+G$33)/(($C35)-(G$33))/(1+$C35)^5-Inputs!$D$103)/Inputs!$D$102</f>
        <v>116.241778105365</v>
      </c>
      <c r="H35" s="17" t="n">
        <f aca="false">((Valuation!$D$70/(1+$C35)^1+Valuation!$E$70/(1+$C35)^2+Valuation!$F$70/(1+$C35)^3+Valuation!$G$70/(1+$C35)^4+Valuation!$H$70/(1+$C35)^5)+Valuation!$H$70*(1+H$33)/(($C35)-(H$33))/(1+$C35)^5-Inputs!$D$103)/Inputs!$D$102</f>
        <v>133.14519270988</v>
      </c>
    </row>
    <row r="36" customFormat="false" ht="15" hidden="false" customHeight="false" outlineLevel="0" collapsed="false">
      <c r="B36" s="9" t="s">
        <v>414</v>
      </c>
      <c r="C36" s="38" t="n">
        <f aca="false">Valuation!$D$56</f>
        <v>0.0781</v>
      </c>
      <c r="D36" s="17" t="n">
        <f aca="false">((Valuation!$D$70/(1+$C36)^1+Valuation!$E$70/(1+$C36)^2+Valuation!$F$70/(1+$C36)^3+Valuation!$G$70/(1+$C36)^4+Valuation!$H$70/(1+$C36)^5)+Valuation!$H$70*(1+D$33)/(($C36)-(D$33))/(1+$C36)^5-Inputs!$D$103)/Inputs!$D$102</f>
        <v>78.3189290290612</v>
      </c>
      <c r="E36" s="17" t="n">
        <f aca="false">((Valuation!$D$70/(1+$C36)^1+Valuation!$E$70/(1+$C36)^2+Valuation!$F$70/(1+$C36)^3+Valuation!$G$70/(1+$C36)^4+Valuation!$H$70/(1+$C36)^5)+Valuation!$H$70*(1+E$33)/(($C36)-(E$33))/(1+$C36)^5-Inputs!$D$103)/Inputs!$D$102</f>
        <v>85.9017272403068</v>
      </c>
      <c r="F36" s="17" t="n">
        <f aca="false">((Valuation!$D$70/(1+$C36)^1+Valuation!$E$70/(1+$C36)^2+Valuation!$F$70/(1+$C36)^3+Valuation!$G$70/(1+$C36)^4+Valuation!$H$70/(1+$C36)^5)+Valuation!$H$70*(1+F$33)/(($C36)-(F$33))/(1+$C36)^5-Inputs!$D$103)/Inputs!$D$102</f>
        <v>95.0609907761357</v>
      </c>
      <c r="G36" s="17" t="n">
        <f aca="false">((Valuation!$D$70/(1+$C36)^1+Valuation!$E$70/(1+$C36)^2+Valuation!$F$70/(1+$C36)^3+Valuation!$G$70/(1+$C36)^4+Valuation!$H$70/(1+$C36)^5)+Valuation!$H$70*(1+G$33)/(($C36)-(G$33))/(1+$C36)^5-Inputs!$D$103)/Inputs!$D$102</f>
        <v>106.345373461809</v>
      </c>
      <c r="H36" s="17" t="n">
        <f aca="false">((Valuation!$D$70/(1+$C36)^1+Valuation!$E$70/(1+$C36)^2+Valuation!$F$70/(1+$C36)^3+Valuation!$G$70/(1+$C36)^4+Valuation!$H$70/(1+$C36)^5)+Valuation!$H$70*(1+H$33)/(($C36)-(H$33))/(1+$C36)^5-Inputs!$D$103)/Inputs!$D$102</f>
        <v>120.591536379942</v>
      </c>
    </row>
    <row r="37" customFormat="false" ht="15" hidden="false" customHeight="false" outlineLevel="0" collapsed="false">
      <c r="B37" s="9" t="s">
        <v>413</v>
      </c>
      <c r="C37" s="45" t="n">
        <v>0.08</v>
      </c>
      <c r="D37" s="17" t="n">
        <f aca="false">((Valuation!$D$70/(1+$C37)^1+Valuation!$E$70/(1+$C37)^2+Valuation!$F$70/(1+$C37)^3+Valuation!$G$70/(1+$C37)^4+Valuation!$H$70/(1+$C37)^5)+Valuation!$H$70*(1+D$33)/(($C37)-(D$33))/(1+$C37)^5-Inputs!$D$103)/Inputs!$D$102</f>
        <v>75.1436530674391</v>
      </c>
      <c r="E37" s="17" t="n">
        <f aca="false">((Valuation!$D$70/(1+$C37)^1+Valuation!$E$70/(1+$C37)^2+Valuation!$F$70/(1+$C37)^3+Valuation!$G$70/(1+$C37)^4+Valuation!$H$70/(1+$C37)^5)+Valuation!$H$70*(1+E$33)/(($C37)-(E$33))/(1+$C37)^5-Inputs!$D$103)/Inputs!$D$102</f>
        <v>82.1829190370058</v>
      </c>
      <c r="F37" s="17" t="n">
        <f aca="false">((Valuation!$D$70/(1+$C37)^1+Valuation!$E$70/(1+$C37)^2+Valuation!$F$70/(1+$C37)^3+Valuation!$G$70/(1+$C37)^4+Valuation!$H$70/(1+$C37)^5)+Valuation!$H$70*(1+F$33)/(($C37)-(F$33))/(1+$C37)^5-Inputs!$D$103)/Inputs!$D$102</f>
        <v>90.6300382004859</v>
      </c>
      <c r="G37" s="17" t="n">
        <f aca="false">((Valuation!$D$70/(1+$C37)^1+Valuation!$E$70/(1+$C37)^2+Valuation!$F$70/(1+$C37)^3+Valuation!$G$70/(1+$C37)^4+Valuation!$H$70/(1+$C37)^5)+Valuation!$H$70*(1+G$33)/(($C37)-(G$33))/(1+$C37)^5-Inputs!$D$103)/Inputs!$D$102</f>
        <v>100.954294955851</v>
      </c>
      <c r="H37" s="17" t="n">
        <f aca="false">((Valuation!$D$70/(1+$C37)^1+Valuation!$E$70/(1+$C37)^2+Valuation!$F$70/(1+$C37)^3+Valuation!$G$70/(1+$C37)^4+Valuation!$H$70/(1+$C37)^5)+Valuation!$H$70*(1+H$33)/(($C37)-(H$33))/(1+$C37)^5-Inputs!$D$103)/Inputs!$D$102</f>
        <v>113.859615900056</v>
      </c>
    </row>
    <row r="38" customFormat="false" ht="15" hidden="false" customHeight="false" outlineLevel="0" collapsed="false">
      <c r="B38" s="9" t="s">
        <v>413</v>
      </c>
      <c r="C38" s="45" t="n">
        <v>0.085</v>
      </c>
      <c r="D38" s="17" t="n">
        <f aca="false">((Valuation!$D$70/(1+$C38)^1+Valuation!$E$70/(1+$C38)^2+Valuation!$F$70/(1+$C38)^3+Valuation!$G$70/(1+$C38)^4+Valuation!$H$70/(1+$C38)^5)+Valuation!$H$70*(1+D$33)/(($C38)-(D$33))/(1+$C38)^5-Inputs!$D$103)/Inputs!$D$102</f>
        <v>67.6765516692335</v>
      </c>
      <c r="E38" s="17" t="n">
        <f aca="false">((Valuation!$D$70/(1+$C38)^1+Valuation!$E$70/(1+$C38)^2+Valuation!$F$70/(1+$C38)^3+Valuation!$G$70/(1+$C38)^4+Valuation!$H$70/(1+$C38)^5)+Valuation!$H$70*(1+E$33)/(($C38)-(E$33))/(1+$C38)^5-Inputs!$D$103)/Inputs!$D$102</f>
        <v>73.5238166716014</v>
      </c>
      <c r="F38" s="17" t="n">
        <f aca="false">((Valuation!$D$70/(1+$C38)^1+Valuation!$E$70/(1+$C38)^2+Valuation!$F$70/(1+$C38)^3+Valuation!$G$70/(1+$C38)^4+Valuation!$H$70/(1+$C38)^5)+Valuation!$H$70*(1+F$33)/(($C38)-(F$33))/(1+$C38)^5-Inputs!$D$103)/Inputs!$D$102</f>
        <v>80.434220765309</v>
      </c>
      <c r="G38" s="17" t="n">
        <f aca="false">((Valuation!$D$70/(1+$C38)^1+Valuation!$E$70/(1+$C38)^2+Valuation!$F$70/(1+$C38)^3+Valuation!$G$70/(1+$C38)^4+Valuation!$H$70/(1+$C38)^5)+Valuation!$H$70*(1+G$33)/(($C38)-(G$33))/(1+$C38)^5-Inputs!$D$103)/Inputs!$D$102</f>
        <v>88.7267056777582</v>
      </c>
      <c r="H38" s="17" t="n">
        <f aca="false">((Valuation!$D$70/(1+$C38)^1+Valuation!$E$70/(1+$C38)^2+Valuation!$F$70/(1+$C38)^3+Valuation!$G$70/(1+$C38)^4+Valuation!$H$70/(1+$C38)^5)+Valuation!$H$70*(1+H$33)/(($C38)-(H$33))/(1+$C38)^5-Inputs!$D$103)/Inputs!$D$102</f>
        <v>98.861965015196</v>
      </c>
    </row>
    <row r="39" customFormat="false" ht="15" hidden="false" customHeight="false" outlineLevel="0" collapsed="false">
      <c r="B39" s="9" t="s">
        <v>413</v>
      </c>
      <c r="C39" s="45" t="n">
        <v>0.09</v>
      </c>
      <c r="D39" s="17" t="n">
        <f aca="false">((Valuation!$D$70/(1+$C39)^1+Valuation!$E$70/(1+$C39)^2+Valuation!$F$70/(1+$C39)^3+Valuation!$G$70/(1+$C39)^4+Valuation!$H$70/(1+$C39)^5)+Valuation!$H$70*(1+D$33)/(($C39)-(D$33))/(1+$C39)^5-Inputs!$D$103)/Inputs!$D$102</f>
        <v>61.2786481447855</v>
      </c>
      <c r="E39" s="17" t="n">
        <f aca="false">((Valuation!$D$70/(1+$C39)^1+Valuation!$E$70/(1+$C39)^2+Valuation!$F$70/(1+$C39)^3+Valuation!$G$70/(1+$C39)^4+Valuation!$H$70/(1+$C39)^5)+Valuation!$H$70*(1+E$33)/(($C39)-(E$33))/(1+$C39)^5-Inputs!$D$103)/Inputs!$D$102</f>
        <v>66.1992581820765</v>
      </c>
      <c r="F39" s="17" t="n">
        <f aca="false">((Valuation!$D$70/(1+$C39)^1+Valuation!$E$70/(1+$C39)^2+Valuation!$F$70/(1+$C39)^3+Valuation!$G$70/(1+$C39)^4+Valuation!$H$70/(1+$C39)^5)+Valuation!$H$70*(1+F$33)/(($C39)-(F$33))/(1+$C39)^5-Inputs!$D$103)/Inputs!$D$102</f>
        <v>71.9399698922494</v>
      </c>
      <c r="G39" s="17" t="n">
        <f aca="false">((Valuation!$D$70/(1+$C39)^1+Valuation!$E$70/(1+$C39)^2+Valuation!$F$70/(1+$C39)^3+Valuation!$G$70/(1+$C39)^4+Valuation!$H$70/(1+$C39)^5)+Valuation!$H$70*(1+G$33)/(($C39)-(G$33))/(1+$C39)^5-Inputs!$D$103)/Inputs!$D$102</f>
        <v>78.7244473679083</v>
      </c>
      <c r="H39" s="17" t="n">
        <f aca="false">((Valuation!$D$70/(1+$C39)^1+Valuation!$E$70/(1+$C39)^2+Valuation!$F$70/(1+$C39)^3+Valuation!$G$70/(1+$C39)^4+Valuation!$H$70/(1+$C39)^5)+Valuation!$H$70*(1+H$33)/(($C39)-(H$33))/(1+$C39)^5-Inputs!$D$103)/Inputs!$D$102</f>
        <v>86.8658203386989</v>
      </c>
    </row>
    <row r="52" customFormat="false" ht="15" hidden="false" customHeight="false" outlineLevel="0" collapsed="false">
      <c r="B52" s="7" t="s">
        <v>415</v>
      </c>
      <c r="C52" s="8"/>
      <c r="D52" s="8" t="s">
        <v>23</v>
      </c>
      <c r="E52" s="8" t="s">
        <v>24</v>
      </c>
      <c r="F52" s="8" t="s">
        <v>25</v>
      </c>
      <c r="G52" s="8" t="s">
        <v>26</v>
      </c>
      <c r="H52" s="8" t="s">
        <v>27</v>
      </c>
      <c r="I52" s="8" t="s">
        <v>28</v>
      </c>
    </row>
    <row r="53" customFormat="false" ht="15" hidden="false" customHeight="false" outlineLevel="0" collapsed="false">
      <c r="B53" s="18" t="s">
        <v>205</v>
      </c>
      <c r="C53" s="19"/>
      <c r="D53" s="19"/>
      <c r="E53" s="19"/>
      <c r="F53" s="19"/>
      <c r="G53" s="19"/>
      <c r="H53" s="19"/>
      <c r="I53" s="19"/>
    </row>
    <row r="54" customFormat="false" ht="15" hidden="false" customHeight="false" outlineLevel="0" collapsed="false">
      <c r="B54" s="9" t="s">
        <v>32</v>
      </c>
      <c r="C54" s="20" t="s">
        <v>206</v>
      </c>
      <c r="D54" s="14" t="n">
        <f aca="false">(1+D56)/(1+D55)-1</f>
        <v>0.0103708741165327</v>
      </c>
      <c r="E54" s="14" t="n">
        <f aca="false">(1+E56)/(1+E55)-1</f>
        <v>0.0128827483196416</v>
      </c>
      <c r="F54" s="14" t="n">
        <f aca="false">(1+F56)/(1+F55)-1</f>
        <v>0.00708103855232101</v>
      </c>
      <c r="G54" s="14" t="n">
        <f aca="false">Inputs!$G$8</f>
        <v>0.01</v>
      </c>
      <c r="H54" s="14" t="n">
        <f aca="false">Inputs!$H$8</f>
        <v>0.02</v>
      </c>
      <c r="I54" s="14" t="n">
        <f aca="false">Inputs!$I$8</f>
        <v>0.025</v>
      </c>
    </row>
    <row r="55" customFormat="false" ht="15" hidden="false" customHeight="false" outlineLevel="0" collapsed="false">
      <c r="B55" s="9" t="s">
        <v>35</v>
      </c>
      <c r="C55" s="20" t="s">
        <v>206</v>
      </c>
      <c r="D55" s="14" t="n">
        <f aca="false">Inputs!$D$11</f>
        <v>0.045</v>
      </c>
      <c r="E55" s="14" t="n">
        <f aca="false">Inputs!$E$11</f>
        <v>0.03</v>
      </c>
      <c r="F55" s="14" t="n">
        <f aca="false">Inputs!$F$11</f>
        <v>0.025</v>
      </c>
      <c r="G55" s="14" t="n">
        <f aca="false">Inputs!$G$11</f>
        <v>0.025</v>
      </c>
      <c r="H55" s="14" t="n">
        <f aca="false">Inputs!$H$11</f>
        <v>0.02</v>
      </c>
      <c r="I55" s="14" t="n">
        <f aca="false">Inputs!$I$11</f>
        <v>0.02</v>
      </c>
    </row>
    <row r="56" customFormat="false" ht="15" hidden="false" customHeight="false" outlineLevel="0" collapsed="false">
      <c r="B56" s="9" t="s">
        <v>207</v>
      </c>
      <c r="C56" s="20" t="s">
        <v>206</v>
      </c>
      <c r="D56" s="14" t="n">
        <f aca="false">D57/Inputs!$C$5-1</f>
        <v>0.0558375634517767</v>
      </c>
      <c r="E56" s="14" t="n">
        <f aca="false">E57/D57-1</f>
        <v>0.0432692307692308</v>
      </c>
      <c r="F56" s="14" t="n">
        <f aca="false">F57/E57-1</f>
        <v>0.032258064516129</v>
      </c>
      <c r="G56" s="14" t="n">
        <f aca="false">(1+G54)*(1+G55)-1</f>
        <v>0.03525</v>
      </c>
      <c r="H56" s="14" t="n">
        <f aca="false">(1+H54)*(1+H55)-1</f>
        <v>0.0404</v>
      </c>
      <c r="I56" s="14" t="n">
        <f aca="false">(1+I54)*(1+I55)-1</f>
        <v>0.0454999999999999</v>
      </c>
    </row>
    <row r="57" customFormat="false" ht="15" hidden="false" customHeight="false" outlineLevel="0" collapsed="false">
      <c r="B57" s="9" t="s">
        <v>208</v>
      </c>
      <c r="C57" s="20" t="s">
        <v>78</v>
      </c>
      <c r="D57" s="15" t="n">
        <f aca="false">Inputs!$D$5</f>
        <v>1040</v>
      </c>
      <c r="E57" s="15" t="n">
        <f aca="false">Inputs!$E$5</f>
        <v>1085</v>
      </c>
      <c r="F57" s="15" t="n">
        <f aca="false">Inputs!$F$5</f>
        <v>1120</v>
      </c>
      <c r="G57" s="15" t="n">
        <f aca="false">F57*(1+G56)</f>
        <v>1159.48</v>
      </c>
      <c r="H57" s="15" t="n">
        <f aca="false">G57*(1+H56)</f>
        <v>1206.322992</v>
      </c>
      <c r="I57" s="15" t="n">
        <f aca="false">H57*(1+I56)</f>
        <v>1261.210688136</v>
      </c>
    </row>
    <row r="58" customFormat="false" ht="15" hidden="false" customHeight="false" outlineLevel="0" collapsed="false">
      <c r="B58" s="9" t="s">
        <v>33</v>
      </c>
      <c r="C58" s="20" t="s">
        <v>206</v>
      </c>
      <c r="D58" s="14" t="n">
        <f aca="false">(1+D60)/(1+D59)-1</f>
        <v>0.0661409719987125</v>
      </c>
      <c r="E58" s="14" t="n">
        <f aca="false">(1+E60)/(1+E59)-1</f>
        <v>0.0716248397142334</v>
      </c>
      <c r="F58" s="14" t="n">
        <f aca="false">(1+F60)/(1+F59)-1</f>
        <v>0.0673337502605798</v>
      </c>
      <c r="G58" s="14" t="n">
        <f aca="false">(Inputs!$G$9+$D$4)</f>
        <v>0.07</v>
      </c>
      <c r="H58" s="14" t="n">
        <f aca="false">(Inputs!$H$9+$D$4)</f>
        <v>0.075</v>
      </c>
      <c r="I58" s="14" t="n">
        <f aca="false">(Inputs!$I$9+$D$4)</f>
        <v>0.07</v>
      </c>
    </row>
    <row r="59" customFormat="false" ht="15" hidden="false" customHeight="false" outlineLevel="0" collapsed="false">
      <c r="B59" s="9" t="s">
        <v>36</v>
      </c>
      <c r="C59" s="20" t="s">
        <v>206</v>
      </c>
      <c r="D59" s="14" t="n">
        <f aca="false">Inputs!$D$12</f>
        <v>0.04</v>
      </c>
      <c r="E59" s="14" t="n">
        <f aca="false">Inputs!$E$12</f>
        <v>0.03</v>
      </c>
      <c r="F59" s="14" t="n">
        <f aca="false">Inputs!$F$12</f>
        <v>0.025</v>
      </c>
      <c r="G59" s="14" t="n">
        <f aca="false">Inputs!$G$12</f>
        <v>0.025</v>
      </c>
      <c r="H59" s="14" t="n">
        <f aca="false">Inputs!$H$12</f>
        <v>0.025</v>
      </c>
      <c r="I59" s="14" t="n">
        <f aca="false">Inputs!$I$12</f>
        <v>0.02</v>
      </c>
    </row>
    <row r="60" customFormat="false" ht="15" hidden="false" customHeight="false" outlineLevel="0" collapsed="false">
      <c r="B60" s="9" t="s">
        <v>209</v>
      </c>
      <c r="C60" s="20" t="s">
        <v>206</v>
      </c>
      <c r="D60" s="14" t="n">
        <f aca="false">D61/Inputs!$C$6-1</f>
        <v>0.108786610878661</v>
      </c>
      <c r="E60" s="14" t="n">
        <f aca="false">E61/D61-1</f>
        <v>0.10377358490566</v>
      </c>
      <c r="F60" s="14" t="n">
        <f aca="false">F61/E61-1</f>
        <v>0.0940170940170941</v>
      </c>
      <c r="G60" s="14" t="n">
        <f aca="false">(1+G58)*(1+G59)-1</f>
        <v>0.0967499999999999</v>
      </c>
      <c r="H60" s="14" t="n">
        <f aca="false">(1+H58)*(1+H59)-1</f>
        <v>0.101875</v>
      </c>
      <c r="I60" s="14" t="n">
        <f aca="false">(1+I58)*(1+I59)-1</f>
        <v>0.0914000000000002</v>
      </c>
    </row>
    <row r="61" customFormat="false" ht="15" hidden="false" customHeight="false" outlineLevel="0" collapsed="false">
      <c r="B61" s="9" t="s">
        <v>210</v>
      </c>
      <c r="C61" s="20" t="s">
        <v>78</v>
      </c>
      <c r="D61" s="15" t="n">
        <f aca="false">Inputs!$D$6</f>
        <v>530</v>
      </c>
      <c r="E61" s="15" t="n">
        <f aca="false">Inputs!$E$6</f>
        <v>585</v>
      </c>
      <c r="F61" s="15" t="n">
        <f aca="false">Inputs!$F$6</f>
        <v>640</v>
      </c>
      <c r="G61" s="15" t="n">
        <f aca="false">F61*(1+G60)</f>
        <v>701.92</v>
      </c>
      <c r="H61" s="15" t="n">
        <f aca="false">G61*(1+H60)</f>
        <v>773.4281</v>
      </c>
      <c r="I61" s="15" t="n">
        <f aca="false">H61*(1+I60)</f>
        <v>844.11942834</v>
      </c>
    </row>
    <row r="62" customFormat="false" ht="15" hidden="false" customHeight="false" outlineLevel="0" collapsed="false">
      <c r="B62" s="9" t="s">
        <v>34</v>
      </c>
      <c r="C62" s="20" t="s">
        <v>206</v>
      </c>
      <c r="D62" s="14" t="n">
        <f aca="false">(1+D64)/(1+D63)-1</f>
        <v>0.0281385281385282</v>
      </c>
      <c r="E62" s="14" t="n">
        <f aca="false">(1+E64)/(1+E63)-1</f>
        <v>0.0424612255275871</v>
      </c>
      <c r="F62" s="14" t="n">
        <f aca="false">(1+F64)/(1+F63)-1</f>
        <v>0.0419133317546767</v>
      </c>
      <c r="G62" s="14" t="n">
        <f aca="false">Inputs!$G$10</f>
        <v>0.04</v>
      </c>
      <c r="H62" s="14" t="n">
        <f aca="false">Inputs!$H$10</f>
        <v>0.045</v>
      </c>
      <c r="I62" s="14" t="n">
        <f aca="false">Inputs!$I$10</f>
        <v>0.045</v>
      </c>
    </row>
    <row r="63" customFormat="false" ht="15" hidden="false" customHeight="false" outlineLevel="0" collapsed="false">
      <c r="B63" s="9" t="s">
        <v>37</v>
      </c>
      <c r="C63" s="20" t="s">
        <v>206</v>
      </c>
      <c r="D63" s="14" t="n">
        <f aca="false">Inputs!$D$13</f>
        <v>0.05</v>
      </c>
      <c r="E63" s="14" t="n">
        <f aca="false">Inputs!$E$13</f>
        <v>0.035</v>
      </c>
      <c r="F63" s="14" t="n">
        <f aca="false">Inputs!$F$13</f>
        <v>0.03</v>
      </c>
      <c r="G63" s="14" t="n">
        <f aca="false">Inputs!$G$13</f>
        <v>0.03</v>
      </c>
      <c r="H63" s="14" t="n">
        <f aca="false">Inputs!$H$13</f>
        <v>0.03</v>
      </c>
      <c r="I63" s="14" t="n">
        <f aca="false">Inputs!$I$13</f>
        <v>0.03</v>
      </c>
    </row>
    <row r="64" customFormat="false" ht="15" hidden="false" customHeight="false" outlineLevel="0" collapsed="false">
      <c r="B64" s="9" t="s">
        <v>211</v>
      </c>
      <c r="C64" s="20" t="s">
        <v>206</v>
      </c>
      <c r="D64" s="14" t="n">
        <f aca="false">D65/Inputs!$C$7-1</f>
        <v>0.0795454545454546</v>
      </c>
      <c r="E64" s="14" t="n">
        <f aca="false">E65/D65-1</f>
        <v>0.0789473684210527</v>
      </c>
      <c r="F64" s="14" t="n">
        <f aca="false">F65/E65-1</f>
        <v>0.0731707317073171</v>
      </c>
      <c r="G64" s="14" t="n">
        <f aca="false">(1+G62)*(1+G63)-1</f>
        <v>0.0712000000000002</v>
      </c>
      <c r="H64" s="14" t="n">
        <f aca="false">(1+H62)*(1+H63)-1</f>
        <v>0.0763499999999999</v>
      </c>
      <c r="I64" s="14" t="n">
        <f aca="false">(1+I62)*(1+I63)-1</f>
        <v>0.0763499999999999</v>
      </c>
    </row>
    <row r="65" customFormat="false" ht="15" hidden="false" customHeight="false" outlineLevel="0" collapsed="false">
      <c r="B65" s="9" t="s">
        <v>212</v>
      </c>
      <c r="C65" s="20" t="s">
        <v>78</v>
      </c>
      <c r="D65" s="15" t="n">
        <f aca="false">Inputs!$D$7</f>
        <v>380</v>
      </c>
      <c r="E65" s="15" t="n">
        <f aca="false">Inputs!$E$7</f>
        <v>410</v>
      </c>
      <c r="F65" s="15" t="n">
        <f aca="false">Inputs!$F$7</f>
        <v>440</v>
      </c>
      <c r="G65" s="15" t="n">
        <f aca="false">F65*(1+G64)</f>
        <v>471.328</v>
      </c>
      <c r="H65" s="15" t="n">
        <f aca="false">G65*(1+H64)</f>
        <v>507.3138928</v>
      </c>
      <c r="I65" s="15" t="n">
        <f aca="false">H65*(1+I64)</f>
        <v>546.04730851528</v>
      </c>
    </row>
    <row r="66" customFormat="false" ht="15" hidden="false" customHeight="false" outlineLevel="0" collapsed="false">
      <c r="B66" s="26" t="s">
        <v>213</v>
      </c>
      <c r="C66" s="20" t="s">
        <v>78</v>
      </c>
      <c r="D66" s="27" t="n">
        <f aca="false">D57+D61+D65</f>
        <v>1950</v>
      </c>
      <c r="E66" s="27" t="n">
        <f aca="false">E57+E61+E65</f>
        <v>2080</v>
      </c>
      <c r="F66" s="27" t="n">
        <f aca="false">F57+F61+F65</f>
        <v>2200</v>
      </c>
      <c r="G66" s="27" t="n">
        <f aca="false">G57+G61+G65</f>
        <v>2332.728</v>
      </c>
      <c r="H66" s="27" t="n">
        <f aca="false">H57+H61+H65</f>
        <v>2487.0649848</v>
      </c>
      <c r="I66" s="27" t="n">
        <f aca="false">I57+I61+I65</f>
        <v>2651.37742499128</v>
      </c>
    </row>
    <row r="67" customFormat="false" ht="15" hidden="false" customHeight="false" outlineLevel="0" collapsed="false">
      <c r="B67" s="9" t="s">
        <v>214</v>
      </c>
      <c r="C67" s="20" t="s">
        <v>206</v>
      </c>
      <c r="D67" s="14" t="n">
        <f aca="false">D66/(Inputs!$C$5+Inputs!$C$6+Inputs!$C$7)-1</f>
        <v>0.0743801652892562</v>
      </c>
      <c r="E67" s="14" t="n">
        <f aca="false">E66/D66-1</f>
        <v>0.0666666666666667</v>
      </c>
      <c r="F67" s="14" t="n">
        <f aca="false">F66/E66-1</f>
        <v>0.0576923076923077</v>
      </c>
      <c r="G67" s="14" t="n">
        <f aca="false">G66/F66-1</f>
        <v>0.0603309090909092</v>
      </c>
      <c r="H67" s="14" t="n">
        <f aca="false">H66/G66-1</f>
        <v>0.0661615862629505</v>
      </c>
      <c r="I67" s="14" t="n">
        <f aca="false">I66/H66-1</f>
        <v>0.0660668061331311</v>
      </c>
    </row>
    <row r="68" customFormat="false" ht="15" hidden="false" customHeight="false" outlineLevel="0" collapsed="false">
      <c r="B68" s="18" t="s">
        <v>215</v>
      </c>
      <c r="C68" s="19"/>
      <c r="D68" s="19"/>
      <c r="E68" s="19"/>
      <c r="F68" s="19"/>
      <c r="G68" s="19"/>
      <c r="H68" s="19"/>
      <c r="I68" s="19"/>
    </row>
    <row r="69" customFormat="false" ht="15" hidden="false" customHeight="false" outlineLevel="0" collapsed="false">
      <c r="B69" s="9" t="s">
        <v>38</v>
      </c>
      <c r="C69" s="20" t="s">
        <v>206</v>
      </c>
      <c r="D69" s="14" t="n">
        <f aca="false">Inputs!$D$14</f>
        <v>0.121</v>
      </c>
      <c r="E69" s="14" t="n">
        <f aca="false">Inputs!$E$14</f>
        <v>0.126</v>
      </c>
      <c r="F69" s="14" t="n">
        <f aca="false">Inputs!$F$14</f>
        <v>0.13</v>
      </c>
      <c r="G69" s="14" t="n">
        <f aca="false">Inputs!$G$14</f>
        <v>0.132</v>
      </c>
      <c r="H69" s="14" t="n">
        <f aca="false">Inputs!$H$14</f>
        <v>0.136</v>
      </c>
      <c r="I69" s="14" t="n">
        <f aca="false">Inputs!$I$14</f>
        <v>0.14</v>
      </c>
    </row>
    <row r="70" customFormat="false" ht="15" hidden="false" customHeight="false" outlineLevel="0" collapsed="false">
      <c r="B70" s="9" t="s">
        <v>216</v>
      </c>
      <c r="C70" s="20" t="s">
        <v>78</v>
      </c>
      <c r="D70" s="15" t="n">
        <f aca="false">D57*D69</f>
        <v>125.84</v>
      </c>
      <c r="E70" s="15" t="n">
        <f aca="false">E57*E69</f>
        <v>136.71</v>
      </c>
      <c r="F70" s="15" t="n">
        <f aca="false">F57*F69</f>
        <v>145.6</v>
      </c>
      <c r="G70" s="15" t="n">
        <f aca="false">G57*G69</f>
        <v>153.05136</v>
      </c>
      <c r="H70" s="15" t="n">
        <f aca="false">H57*H69</f>
        <v>164.059926912</v>
      </c>
      <c r="I70" s="15" t="n">
        <f aca="false">I57*I69</f>
        <v>176.56949633904</v>
      </c>
    </row>
    <row r="71" customFormat="false" ht="15" hidden="false" customHeight="false" outlineLevel="0" collapsed="false">
      <c r="B71" s="9" t="s">
        <v>39</v>
      </c>
      <c r="C71" s="20" t="s">
        <v>206</v>
      </c>
      <c r="D71" s="14" t="n">
        <f aca="false">Inputs!$D$15</f>
        <v>0.195</v>
      </c>
      <c r="E71" s="14" t="n">
        <f aca="false">Inputs!$E$15</f>
        <v>0.203</v>
      </c>
      <c r="F71" s="14" t="n">
        <f aca="false">Inputs!$F$15</f>
        <v>0.21</v>
      </c>
      <c r="G71" s="14" t="n">
        <f aca="false">Inputs!$G$15</f>
        <v>0.218</v>
      </c>
      <c r="H71" s="14" t="n">
        <f aca="false">Inputs!$H$15</f>
        <v>0.225</v>
      </c>
      <c r="I71" s="14" t="n">
        <f aca="false">Inputs!$I$15</f>
        <v>0.23</v>
      </c>
    </row>
    <row r="72" customFormat="false" ht="15" hidden="false" customHeight="false" outlineLevel="0" collapsed="false">
      <c r="B72" s="9" t="s">
        <v>217</v>
      </c>
      <c r="C72" s="20" t="s">
        <v>78</v>
      </c>
      <c r="D72" s="15" t="n">
        <f aca="false">D61*D71</f>
        <v>103.35</v>
      </c>
      <c r="E72" s="15" t="n">
        <f aca="false">E61*E71</f>
        <v>118.755</v>
      </c>
      <c r="F72" s="15" t="n">
        <f aca="false">F61*F71</f>
        <v>134.4</v>
      </c>
      <c r="G72" s="15" t="n">
        <f aca="false">G61*G71</f>
        <v>153.01856</v>
      </c>
      <c r="H72" s="15" t="n">
        <f aca="false">H61*H71</f>
        <v>174.0213225</v>
      </c>
      <c r="I72" s="15" t="n">
        <f aca="false">I61*I71</f>
        <v>194.1474685182</v>
      </c>
    </row>
    <row r="73" customFormat="false" ht="15" hidden="false" customHeight="false" outlineLevel="0" collapsed="false">
      <c r="B73" s="9" t="s">
        <v>40</v>
      </c>
      <c r="C73" s="20" t="s">
        <v>206</v>
      </c>
      <c r="D73" s="14" t="n">
        <f aca="false">Inputs!$D$16</f>
        <v>0.23</v>
      </c>
      <c r="E73" s="14" t="n">
        <f aca="false">Inputs!$E$16</f>
        <v>0.235</v>
      </c>
      <c r="F73" s="14" t="n">
        <f aca="false">Inputs!$F$16</f>
        <v>0.24</v>
      </c>
      <c r="G73" s="14" t="n">
        <f aca="false">Inputs!$G$16</f>
        <v>0.243</v>
      </c>
      <c r="H73" s="14" t="n">
        <f aca="false">Inputs!$H$16</f>
        <v>0.246</v>
      </c>
      <c r="I73" s="14" t="n">
        <f aca="false">Inputs!$I$16</f>
        <v>0.248</v>
      </c>
    </row>
    <row r="74" customFormat="false" ht="15" hidden="false" customHeight="false" outlineLevel="0" collapsed="false">
      <c r="B74" s="9" t="s">
        <v>218</v>
      </c>
      <c r="C74" s="20" t="s">
        <v>78</v>
      </c>
      <c r="D74" s="15" t="n">
        <f aca="false">D65*D73</f>
        <v>87.4</v>
      </c>
      <c r="E74" s="15" t="n">
        <f aca="false">E65*E73</f>
        <v>96.35</v>
      </c>
      <c r="F74" s="15" t="n">
        <f aca="false">F65*F73</f>
        <v>105.6</v>
      </c>
      <c r="G74" s="15" t="n">
        <f aca="false">G65*G73</f>
        <v>114.532704</v>
      </c>
      <c r="H74" s="15" t="n">
        <f aca="false">H65*H73</f>
        <v>124.7992176288</v>
      </c>
      <c r="I74" s="15" t="n">
        <f aca="false">I65*I73</f>
        <v>135.419732511789</v>
      </c>
    </row>
    <row r="75" customFormat="false" ht="15" hidden="false" customHeight="false" outlineLevel="0" collapsed="false">
      <c r="B75" s="9" t="s">
        <v>219</v>
      </c>
      <c r="C75" s="20" t="s">
        <v>78</v>
      </c>
      <c r="D75" s="15" t="n">
        <f aca="false">D70+D72+D74</f>
        <v>316.59</v>
      </c>
      <c r="E75" s="15" t="n">
        <f aca="false">E70+E72+E74</f>
        <v>351.815</v>
      </c>
      <c r="F75" s="15" t="n">
        <f aca="false">F70+F72+F74</f>
        <v>385.6</v>
      </c>
      <c r="G75" s="15" t="n">
        <f aca="false">G70+G72+G74</f>
        <v>420.602624</v>
      </c>
      <c r="H75" s="15" t="n">
        <f aca="false">H70+H72+H74</f>
        <v>462.8804670408</v>
      </c>
      <c r="I75" s="15" t="n">
        <f aca="false">I70+I72+I74</f>
        <v>506.13669736903</v>
      </c>
    </row>
    <row r="76" customFormat="false" ht="15" hidden="false" customHeight="false" outlineLevel="0" collapsed="false">
      <c r="B76" s="9" t="s">
        <v>41</v>
      </c>
      <c r="C76" s="20" t="s">
        <v>78</v>
      </c>
      <c r="D76" s="15" t="n">
        <f aca="false">Inputs!$D$17</f>
        <v>44</v>
      </c>
      <c r="E76" s="15" t="n">
        <f aca="false">Inputs!$E$17</f>
        <v>46</v>
      </c>
      <c r="F76" s="15" t="n">
        <f aca="false">Inputs!$F$17</f>
        <v>48</v>
      </c>
      <c r="G76" s="15" t="n">
        <f aca="false">Inputs!$G$17</f>
        <v>50</v>
      </c>
      <c r="H76" s="15" t="n">
        <f aca="false">Inputs!$H$17</f>
        <v>52</v>
      </c>
      <c r="I76" s="15" t="n">
        <f aca="false">Inputs!$I$17</f>
        <v>54</v>
      </c>
    </row>
    <row r="77" customFormat="false" ht="15" hidden="false" customHeight="false" outlineLevel="0" collapsed="false">
      <c r="B77" s="26" t="s">
        <v>220</v>
      </c>
      <c r="C77" s="20" t="s">
        <v>78</v>
      </c>
      <c r="D77" s="27" t="n">
        <f aca="false">D75-D76</f>
        <v>272.59</v>
      </c>
      <c r="E77" s="27" t="n">
        <f aca="false">E75-E76</f>
        <v>305.815</v>
      </c>
      <c r="F77" s="27" t="n">
        <f aca="false">F75-F76</f>
        <v>337.6</v>
      </c>
      <c r="G77" s="27" t="n">
        <f aca="false">G75-G76</f>
        <v>370.602624</v>
      </c>
      <c r="H77" s="27" t="n">
        <f aca="false">H75-H76</f>
        <v>410.8804670408</v>
      </c>
      <c r="I77" s="27" t="n">
        <f aca="false">I75-I76</f>
        <v>452.13669736903</v>
      </c>
    </row>
    <row r="78" customFormat="false" ht="15" hidden="false" customHeight="false" outlineLevel="0" collapsed="false">
      <c r="B78" s="9" t="s">
        <v>221</v>
      </c>
      <c r="C78" s="20" t="s">
        <v>206</v>
      </c>
      <c r="D78" s="14" t="n">
        <f aca="false">D77/D66</f>
        <v>0.139789743589744</v>
      </c>
      <c r="E78" s="14" t="n">
        <f aca="false">E77/E66</f>
        <v>0.147026442307692</v>
      </c>
      <c r="F78" s="14" t="n">
        <f aca="false">F77/F66</f>
        <v>0.153454545454545</v>
      </c>
      <c r="G78" s="14" t="n">
        <f aca="false">G77/G66</f>
        <v>0.158870911653652</v>
      </c>
      <c r="H78" s="14" t="n">
        <f aca="false">H77/H66</f>
        <v>0.165206968676712</v>
      </c>
      <c r="I78" s="14" t="n">
        <f aca="false">I77/I66</f>
        <v>0.170528983579362</v>
      </c>
    </row>
    <row r="79" customFormat="false" ht="15" hidden="false" customHeight="false" outlineLevel="0" collapsed="false">
      <c r="B79" s="9" t="s">
        <v>222</v>
      </c>
      <c r="C79" s="20" t="s">
        <v>78</v>
      </c>
      <c r="D79" s="15" t="n">
        <f aca="false">D66*Inputs!$D$80</f>
        <v>54.6</v>
      </c>
      <c r="E79" s="15" t="n">
        <f aca="false">E66*Inputs!$D$80</f>
        <v>58.24</v>
      </c>
      <c r="F79" s="15" t="n">
        <f aca="false">F66*Inputs!$D$80</f>
        <v>61.6</v>
      </c>
      <c r="G79" s="15" t="n">
        <f aca="false">G66*Inputs!$D$80</f>
        <v>65.316384</v>
      </c>
      <c r="H79" s="15" t="n">
        <f aca="false">H66*Inputs!$D$80</f>
        <v>69.6378195744</v>
      </c>
      <c r="I79" s="15" t="n">
        <f aca="false">I66*Inputs!$D$80</f>
        <v>74.2385678997559</v>
      </c>
    </row>
    <row r="80" customFormat="false" ht="15" hidden="false" customHeight="false" outlineLevel="0" collapsed="false">
      <c r="B80" s="9" t="s">
        <v>223</v>
      </c>
      <c r="C80" s="20" t="s">
        <v>78</v>
      </c>
      <c r="D80" s="15" t="n">
        <f aca="false">D77+D79</f>
        <v>327.19</v>
      </c>
      <c r="E80" s="15" t="n">
        <f aca="false">E77+E79</f>
        <v>364.055</v>
      </c>
      <c r="F80" s="15" t="n">
        <f aca="false">F77+F79</f>
        <v>399.2</v>
      </c>
      <c r="G80" s="15" t="n">
        <f aca="false">G77+G79</f>
        <v>435.919008</v>
      </c>
      <c r="H80" s="15" t="n">
        <f aca="false">H77+H79</f>
        <v>480.5182866152</v>
      </c>
      <c r="I80" s="15" t="n">
        <f aca="false">I77+I79</f>
        <v>526.375265268785</v>
      </c>
    </row>
    <row r="81" customFormat="false" ht="15" hidden="false" customHeight="false" outlineLevel="0" collapsed="false">
      <c r="B81" s="9" t="s">
        <v>42</v>
      </c>
      <c r="C81" s="20" t="s">
        <v>78</v>
      </c>
      <c r="D81" s="15" t="n">
        <f aca="false">Inputs!$D$18</f>
        <v>38</v>
      </c>
      <c r="E81" s="15" t="n">
        <f aca="false">Inputs!$E$18</f>
        <v>38</v>
      </c>
      <c r="F81" s="15" t="n">
        <f aca="false">Inputs!$F$18</f>
        <v>38</v>
      </c>
      <c r="G81" s="15" t="n">
        <f aca="false">Inputs!$G$18</f>
        <v>38</v>
      </c>
      <c r="H81" s="15" t="n">
        <f aca="false">Inputs!$H$18</f>
        <v>36</v>
      </c>
      <c r="I81" s="15" t="n">
        <f aca="false">Inputs!$I$18</f>
        <v>34</v>
      </c>
    </row>
    <row r="82" customFormat="false" ht="15" hidden="false" customHeight="false" outlineLevel="0" collapsed="false">
      <c r="B82" s="9" t="s">
        <v>43</v>
      </c>
      <c r="C82" s="20" t="s">
        <v>78</v>
      </c>
      <c r="D82" s="15" t="n">
        <f aca="false">Inputs!$D$19</f>
        <v>0</v>
      </c>
      <c r="E82" s="15" t="n">
        <f aca="false">Inputs!$E$19</f>
        <v>15</v>
      </c>
      <c r="F82" s="15" t="n">
        <f aca="false">Inputs!$F$19</f>
        <v>22</v>
      </c>
      <c r="G82" s="15" t="n">
        <f aca="false">Inputs!$G$19</f>
        <v>12</v>
      </c>
      <c r="H82" s="15" t="n">
        <f aca="false">Inputs!$H$19</f>
        <v>0</v>
      </c>
      <c r="I82" s="15" t="n">
        <f aca="false">Inputs!$I$19</f>
        <v>0</v>
      </c>
    </row>
    <row r="83" customFormat="false" ht="15" hidden="false" customHeight="false" outlineLevel="0" collapsed="false">
      <c r="B83" s="9" t="s">
        <v>224</v>
      </c>
      <c r="C83" s="20" t="s">
        <v>78</v>
      </c>
      <c r="D83" s="15" t="n">
        <f aca="false">D77-D81-D82</f>
        <v>234.59</v>
      </c>
      <c r="E83" s="15" t="n">
        <f aca="false">E77-E81-E82</f>
        <v>252.815</v>
      </c>
      <c r="F83" s="15" t="n">
        <f aca="false">F77-F81-F82</f>
        <v>277.6</v>
      </c>
      <c r="G83" s="15" t="n">
        <f aca="false">G77-G81-G82</f>
        <v>320.602624</v>
      </c>
      <c r="H83" s="15" t="n">
        <f aca="false">H77-H81-H82</f>
        <v>374.8804670408</v>
      </c>
      <c r="I83" s="15" t="n">
        <f aca="false">I77-I81-I82</f>
        <v>418.13669736903</v>
      </c>
    </row>
    <row r="84" customFormat="false" ht="15" hidden="false" customHeight="false" outlineLevel="0" collapsed="false">
      <c r="B84" s="18" t="s">
        <v>225</v>
      </c>
      <c r="C84" s="19"/>
      <c r="D84" s="19"/>
      <c r="E84" s="19"/>
      <c r="F84" s="19"/>
      <c r="G84" s="19"/>
      <c r="H84" s="19"/>
      <c r="I84" s="19"/>
    </row>
    <row r="85" customFormat="false" ht="15" hidden="false" customHeight="false" outlineLevel="0" collapsed="false">
      <c r="B85" s="9" t="s">
        <v>226</v>
      </c>
      <c r="C85" s="20" t="s">
        <v>78</v>
      </c>
      <c r="D85" s="15" t="n">
        <f aca="false">Inputs!$D$20</f>
        <v>58</v>
      </c>
      <c r="E85" s="15" t="n">
        <f aca="false">Inputs!$E$20</f>
        <v>55</v>
      </c>
      <c r="F85" s="15" t="n">
        <f aca="false">Inputs!$F$20</f>
        <v>52</v>
      </c>
      <c r="G85" s="15" t="n">
        <f aca="false">F108*Inputs!$D$83</f>
        <v>55</v>
      </c>
      <c r="H85" s="15" t="n">
        <f aca="false">G108*Inputs!$D$83</f>
        <v>50.310396576</v>
      </c>
      <c r="I85" s="15" t="n">
        <f aca="false">H108*Inputs!$D$83</f>
        <v>43.9148947232652</v>
      </c>
    </row>
    <row r="86" customFormat="false" ht="15" hidden="false" customHeight="false" outlineLevel="0" collapsed="false">
      <c r="B86" s="9" t="s">
        <v>227</v>
      </c>
      <c r="C86" s="20" t="s">
        <v>78</v>
      </c>
      <c r="D86" s="15" t="n">
        <f aca="false">D83-D85</f>
        <v>176.59</v>
      </c>
      <c r="E86" s="15" t="n">
        <f aca="false">E83-E85</f>
        <v>197.815</v>
      </c>
      <c r="F86" s="15" t="n">
        <f aca="false">F83-F85</f>
        <v>225.6</v>
      </c>
      <c r="G86" s="15" t="n">
        <f aca="false">G83-G85</f>
        <v>265.602624</v>
      </c>
      <c r="H86" s="15" t="n">
        <f aca="false">H83-H85</f>
        <v>324.5700704648</v>
      </c>
      <c r="I86" s="15" t="n">
        <f aca="false">I83-I85</f>
        <v>374.221802645764</v>
      </c>
    </row>
    <row r="87" customFormat="false" ht="15" hidden="false" customHeight="false" outlineLevel="0" collapsed="false">
      <c r="B87" s="9" t="s">
        <v>228</v>
      </c>
      <c r="C87" s="20" t="s">
        <v>78</v>
      </c>
      <c r="D87" s="15" t="n">
        <f aca="false">D86*Inputs!$D$79</f>
        <v>40.6157</v>
      </c>
      <c r="E87" s="15" t="n">
        <f aca="false">E86*Inputs!$D$79</f>
        <v>45.49745</v>
      </c>
      <c r="F87" s="15" t="n">
        <f aca="false">F86*Inputs!$D$79</f>
        <v>51.888</v>
      </c>
      <c r="G87" s="15" t="n">
        <f aca="false">G86*Inputs!$D$79</f>
        <v>61.08860352</v>
      </c>
      <c r="H87" s="15" t="n">
        <f aca="false">H86*Inputs!$D$79</f>
        <v>74.651116206904</v>
      </c>
      <c r="I87" s="15" t="n">
        <f aca="false">I86*Inputs!$D$79</f>
        <v>86.0710146085258</v>
      </c>
    </row>
    <row r="88" customFormat="false" ht="15" hidden="false" customHeight="false" outlineLevel="0" collapsed="false">
      <c r="B88" s="9" t="s">
        <v>229</v>
      </c>
      <c r="C88" s="20" t="s">
        <v>78</v>
      </c>
      <c r="D88" s="15" t="n">
        <f aca="false">D86-D87</f>
        <v>135.9743</v>
      </c>
      <c r="E88" s="15" t="n">
        <f aca="false">E86-E87</f>
        <v>152.31755</v>
      </c>
      <c r="F88" s="15" t="n">
        <f aca="false">F86-F87</f>
        <v>173.712</v>
      </c>
      <c r="G88" s="15" t="n">
        <f aca="false">G86-G87</f>
        <v>204.51402048</v>
      </c>
      <c r="H88" s="15" t="n">
        <f aca="false">H86-H87</f>
        <v>249.918954257896</v>
      </c>
      <c r="I88" s="15" t="n">
        <f aca="false">I86-I87</f>
        <v>288.150788037239</v>
      </c>
    </row>
    <row r="89" customFormat="false" ht="15" hidden="false" customHeight="false" outlineLevel="0" collapsed="false">
      <c r="B89" s="9" t="s">
        <v>230</v>
      </c>
      <c r="C89" s="20" t="s">
        <v>231</v>
      </c>
      <c r="D89" s="16" t="n">
        <f aca="false">Inputs!$D$21</f>
        <v>57</v>
      </c>
      <c r="E89" s="16" t="n">
        <f aca="false">Inputs!$E$21</f>
        <v>56.3</v>
      </c>
      <c r="F89" s="16" t="n">
        <f aca="false">Inputs!$F$21</f>
        <v>55.6</v>
      </c>
      <c r="G89" s="16" t="n">
        <f aca="false">Inputs!$G$21</f>
        <v>55</v>
      </c>
      <c r="H89" s="16" t="n">
        <f aca="false">Inputs!$H$21</f>
        <v>54.4</v>
      </c>
      <c r="I89" s="16" t="n">
        <f aca="false">Inputs!$I$21</f>
        <v>53.8</v>
      </c>
    </row>
    <row r="90" customFormat="false" ht="15" hidden="false" customHeight="false" outlineLevel="0" collapsed="false">
      <c r="B90" s="26" t="s">
        <v>232</v>
      </c>
      <c r="C90" s="20" t="s">
        <v>61</v>
      </c>
      <c r="D90" s="28" t="n">
        <f aca="false">D88/D89</f>
        <v>2.38551403508772</v>
      </c>
      <c r="E90" s="28" t="n">
        <f aca="false">E88/E89</f>
        <v>2.70546269982238</v>
      </c>
      <c r="F90" s="28" t="n">
        <f aca="false">F88/F89</f>
        <v>3.12431654676259</v>
      </c>
      <c r="G90" s="28" t="n">
        <f aca="false">G88/G89</f>
        <v>3.718436736</v>
      </c>
      <c r="H90" s="28" t="n">
        <f aca="false">H88/H89</f>
        <v>4.59409842385838</v>
      </c>
      <c r="I90" s="28" t="n">
        <f aca="false">I88/I89</f>
        <v>5.35596260292265</v>
      </c>
    </row>
    <row r="91" customFormat="false" ht="15" hidden="false" customHeight="false" outlineLevel="0" collapsed="false">
      <c r="B91" s="18" t="s">
        <v>233</v>
      </c>
      <c r="C91" s="19"/>
      <c r="D91" s="19"/>
      <c r="E91" s="19"/>
      <c r="F91" s="19"/>
      <c r="G91" s="19"/>
      <c r="H91" s="19"/>
      <c r="I91" s="19"/>
    </row>
    <row r="92" customFormat="false" ht="15" hidden="false" customHeight="false" outlineLevel="0" collapsed="false">
      <c r="B92" s="9" t="s">
        <v>234</v>
      </c>
      <c r="C92" s="20" t="s">
        <v>61</v>
      </c>
      <c r="D92" s="17" t="n">
        <f aca="false">D81*(1-Inputs!$D$79)/D89</f>
        <v>0.513333333333333</v>
      </c>
      <c r="E92" s="17" t="n">
        <f aca="false">E81*(1-Inputs!$D$79)/E89</f>
        <v>0.519715808170515</v>
      </c>
      <c r="F92" s="17" t="n">
        <f aca="false">F81*(1-Inputs!$D$79)/F89</f>
        <v>0.526258992805755</v>
      </c>
      <c r="G92" s="17" t="n">
        <f aca="false">G81*(1-Inputs!$D$79)/G89</f>
        <v>0.532</v>
      </c>
      <c r="H92" s="17" t="n">
        <f aca="false">H81*(1-Inputs!$D$79)/H89</f>
        <v>0.509558823529412</v>
      </c>
      <c r="I92" s="17" t="n">
        <f aca="false">I81*(1-Inputs!$D$79)/I89</f>
        <v>0.486617100371747</v>
      </c>
    </row>
    <row r="93" customFormat="false" ht="15" hidden="false" customHeight="false" outlineLevel="0" collapsed="false">
      <c r="B93" s="9" t="s">
        <v>235</v>
      </c>
      <c r="C93" s="20" t="s">
        <v>61</v>
      </c>
      <c r="D93" s="17" t="n">
        <f aca="false">D82*(1-Inputs!$D$79)/D89</f>
        <v>0</v>
      </c>
      <c r="E93" s="17" t="n">
        <f aca="false">E82*(1-Inputs!$D$79)/E89</f>
        <v>0.205150976909414</v>
      </c>
      <c r="F93" s="17" t="n">
        <f aca="false">F82*(1-Inputs!$D$79)/F89</f>
        <v>0.304676258992806</v>
      </c>
      <c r="G93" s="17" t="n">
        <f aca="false">G82*(1-Inputs!$D$79)/G89</f>
        <v>0.168</v>
      </c>
      <c r="H93" s="17" t="n">
        <f aca="false">H82*(1-Inputs!$D$79)/H89</f>
        <v>0</v>
      </c>
      <c r="I93" s="17" t="n">
        <f aca="false">I82*(1-Inputs!$D$79)/I89</f>
        <v>0</v>
      </c>
    </row>
    <row r="94" customFormat="false" ht="15" hidden="false" customHeight="false" outlineLevel="0" collapsed="false">
      <c r="B94" s="9" t="s">
        <v>236</v>
      </c>
      <c r="C94" s="20" t="s">
        <v>78</v>
      </c>
      <c r="D94" s="15" t="n">
        <f aca="false">(D81+D82)*(1-Inputs!$D$79)</f>
        <v>29.26</v>
      </c>
      <c r="E94" s="15" t="n">
        <f aca="false">(E81+E82)*(1-Inputs!$D$79)</f>
        <v>40.81</v>
      </c>
      <c r="F94" s="15" t="n">
        <f aca="false">(F81+F82)*(1-Inputs!$D$79)</f>
        <v>46.2</v>
      </c>
      <c r="G94" s="15" t="n">
        <f aca="false">(G81+G82)*(1-Inputs!$D$79)</f>
        <v>38.5</v>
      </c>
      <c r="H94" s="15" t="n">
        <f aca="false">(H81+H82)*(1-Inputs!$D$79)</f>
        <v>27.72</v>
      </c>
      <c r="I94" s="15" t="n">
        <f aca="false">(I81+I82)*(1-Inputs!$D$79)</f>
        <v>26.18</v>
      </c>
    </row>
    <row r="95" customFormat="false" ht="15" hidden="false" customHeight="false" outlineLevel="0" collapsed="false">
      <c r="B95" s="9" t="s">
        <v>237</v>
      </c>
      <c r="C95" s="20" t="s">
        <v>78</v>
      </c>
      <c r="D95" s="15" t="n">
        <f aca="false">D88+D94</f>
        <v>165.2343</v>
      </c>
      <c r="E95" s="15" t="n">
        <f aca="false">E88+E94</f>
        <v>193.12755</v>
      </c>
      <c r="F95" s="15" t="n">
        <f aca="false">F88+F94</f>
        <v>219.912</v>
      </c>
      <c r="G95" s="15" t="n">
        <f aca="false">G88+G94</f>
        <v>243.01402048</v>
      </c>
      <c r="H95" s="15" t="n">
        <f aca="false">H88+H94</f>
        <v>277.638954257896</v>
      </c>
      <c r="I95" s="15" t="n">
        <f aca="false">I88+I94</f>
        <v>314.330788037239</v>
      </c>
    </row>
    <row r="96" customFormat="false" ht="15" hidden="false" customHeight="false" outlineLevel="0" collapsed="false">
      <c r="B96" s="26" t="s">
        <v>238</v>
      </c>
      <c r="C96" s="20" t="s">
        <v>61</v>
      </c>
      <c r="D96" s="28" t="n">
        <f aca="false">D95/D89</f>
        <v>2.89884736842105</v>
      </c>
      <c r="E96" s="28" t="n">
        <f aca="false">E95/E89</f>
        <v>3.43032948490231</v>
      </c>
      <c r="F96" s="28" t="n">
        <f aca="false">F95/F89</f>
        <v>3.95525179856115</v>
      </c>
      <c r="G96" s="28" t="n">
        <f aca="false">G95/G89</f>
        <v>4.418436736</v>
      </c>
      <c r="H96" s="28" t="n">
        <f aca="false">H95/H89</f>
        <v>5.10365724738779</v>
      </c>
      <c r="I96" s="28" t="n">
        <f aca="false">I95/I89</f>
        <v>5.8425797032944</v>
      </c>
    </row>
    <row r="97" customFormat="false" ht="15" hidden="false" customHeight="false" outlineLevel="0" collapsed="false">
      <c r="B97" s="9" t="s">
        <v>239</v>
      </c>
      <c r="C97" s="20" t="s">
        <v>206</v>
      </c>
      <c r="D97" s="9"/>
      <c r="E97" s="14" t="n">
        <f aca="false">E96/D96-1</f>
        <v>0.183342566521791</v>
      </c>
      <c r="F97" s="14" t="n">
        <f aca="false">F96/E96-1</f>
        <v>0.153023875977264</v>
      </c>
      <c r="G97" s="14" t="n">
        <f aca="false">G96/F96-1</f>
        <v>0.117106308530685</v>
      </c>
      <c r="H97" s="14" t="n">
        <f aca="false">H96/G96-1</f>
        <v>0.155082114405948</v>
      </c>
      <c r="I97" s="14" t="n">
        <f aca="false">I96/H96-1</f>
        <v>0.144782931158789</v>
      </c>
    </row>
    <row r="98" customFormat="false" ht="15" hidden="false" customHeight="false" outlineLevel="0" collapsed="false">
      <c r="B98" s="9" t="s">
        <v>240</v>
      </c>
      <c r="C98" s="20" t="s">
        <v>206</v>
      </c>
      <c r="D98" s="14" t="n">
        <f aca="false">D96/D90-1</f>
        <v>0.215187722974121</v>
      </c>
      <c r="E98" s="14" t="n">
        <f aca="false">E96/E90-1</f>
        <v>0.267927103606906</v>
      </c>
      <c r="F98" s="14" t="n">
        <f aca="false">F96/F90-1</f>
        <v>0.265957446808511</v>
      </c>
      <c r="G98" s="14" t="n">
        <f aca="false">G96/G90-1</f>
        <v>0.188251152217532</v>
      </c>
      <c r="H98" s="14" t="n">
        <f aca="false">H96/H90-1</f>
        <v>0.110915957064206</v>
      </c>
      <c r="I98" s="14" t="n">
        <f aca="false">I96/I90-1</f>
        <v>0.0908552087548578</v>
      </c>
    </row>
    <row r="99" customFormat="false" ht="15" hidden="false" customHeight="false" outlineLevel="0" collapsed="false">
      <c r="B99" s="18" t="s">
        <v>241</v>
      </c>
      <c r="C99" s="19"/>
      <c r="D99" s="19"/>
      <c r="E99" s="19"/>
      <c r="F99" s="19"/>
      <c r="G99" s="19"/>
      <c r="H99" s="19"/>
      <c r="I99" s="19"/>
    </row>
    <row r="100" customFormat="false" ht="15" hidden="false" customHeight="false" outlineLevel="0" collapsed="false">
      <c r="B100" s="9" t="s">
        <v>242</v>
      </c>
      <c r="C100" s="20" t="s">
        <v>78</v>
      </c>
      <c r="D100" s="15" t="n">
        <f aca="false">D66*Inputs!$D$81</f>
        <v>62.4</v>
      </c>
      <c r="E100" s="15" t="n">
        <f aca="false">E66*Inputs!$D$81</f>
        <v>66.56</v>
      </c>
      <c r="F100" s="15" t="n">
        <f aca="false">F66*Inputs!$D$81</f>
        <v>70.4</v>
      </c>
      <c r="G100" s="15" t="n">
        <f aca="false">G66*Inputs!$D$81</f>
        <v>74.647296</v>
      </c>
      <c r="H100" s="15" t="n">
        <f aca="false">H66*Inputs!$D$81</f>
        <v>79.5860795136</v>
      </c>
      <c r="I100" s="15" t="n">
        <f aca="false">I66*Inputs!$D$81</f>
        <v>84.844077599721</v>
      </c>
    </row>
    <row r="101" customFormat="false" ht="15" hidden="false" customHeight="false" outlineLevel="0" collapsed="false">
      <c r="B101" s="9" t="s">
        <v>243</v>
      </c>
      <c r="C101" s="20" t="s">
        <v>78</v>
      </c>
      <c r="D101" s="15" t="n">
        <f aca="false">(D66-(Inputs!$C$5+Inputs!$C$6+Inputs!$C$7))*Inputs!$D$82</f>
        <v>24.3</v>
      </c>
      <c r="E101" s="15" t="n">
        <f aca="false">(E66-D66)*Inputs!$D$82</f>
        <v>23.4</v>
      </c>
      <c r="F101" s="15" t="n">
        <f aca="false">(F66-E66)*Inputs!$D$82</f>
        <v>21.6</v>
      </c>
      <c r="G101" s="15" t="n">
        <f aca="false">(G66-F66)*Inputs!$D$82</f>
        <v>23.89104</v>
      </c>
      <c r="H101" s="15" t="n">
        <f aca="false">(H66-G66)*Inputs!$D$82</f>
        <v>27.780657264</v>
      </c>
      <c r="I101" s="15" t="n">
        <f aca="false">(I66-H66)*Inputs!$D$82</f>
        <v>29.5762392344304</v>
      </c>
    </row>
    <row r="102" customFormat="false" ht="15" hidden="false" customHeight="false" outlineLevel="0" collapsed="false">
      <c r="B102" s="26" t="s">
        <v>244</v>
      </c>
      <c r="C102" s="20" t="s">
        <v>78</v>
      </c>
      <c r="D102" s="27" t="n">
        <f aca="false">D88+D79+D81-D100-D101</f>
        <v>141.8743</v>
      </c>
      <c r="E102" s="27" t="n">
        <f aca="false">E88+E79+E81-E100-E101</f>
        <v>158.59755</v>
      </c>
      <c r="F102" s="27" t="n">
        <f aca="false">F88+F79+F81-F100-F101</f>
        <v>181.312</v>
      </c>
      <c r="G102" s="27" t="n">
        <f aca="false">G88+G79+G81-G100-G101</f>
        <v>209.29206848</v>
      </c>
      <c r="H102" s="27" t="n">
        <f aca="false">H88+H79+H81-H100-H101</f>
        <v>248.190037054696</v>
      </c>
      <c r="I102" s="27" t="n">
        <f aca="false">I88+I79+I81-I100-I101</f>
        <v>281.969039102843</v>
      </c>
    </row>
    <row r="103" customFormat="false" ht="15" hidden="false" customHeight="false" outlineLevel="0" collapsed="false">
      <c r="B103" s="9" t="s">
        <v>245</v>
      </c>
      <c r="C103" s="20" t="s">
        <v>206</v>
      </c>
      <c r="D103" s="29" t="n">
        <f aca="false">D102/D95</f>
        <v>0.85862499493144</v>
      </c>
      <c r="E103" s="29" t="n">
        <f aca="false">E102/E95</f>
        <v>0.821206244267066</v>
      </c>
      <c r="F103" s="29" t="n">
        <f aca="false">F102/F95</f>
        <v>0.824475244643312</v>
      </c>
      <c r="G103" s="29" t="n">
        <f aca="false">G102/G95</f>
        <v>0.861234541392334</v>
      </c>
      <c r="H103" s="29" t="n">
        <f aca="false">H102/H95</f>
        <v>0.893930888473794</v>
      </c>
      <c r="I103" s="29" t="n">
        <f aca="false">I102/I95</f>
        <v>0.897045564208105</v>
      </c>
    </row>
    <row r="104" customFormat="false" ht="15" hidden="false" customHeight="false" outlineLevel="0" collapsed="false">
      <c r="B104" s="9" t="s">
        <v>246</v>
      </c>
      <c r="C104" s="20" t="s">
        <v>61</v>
      </c>
      <c r="D104" s="17" t="n">
        <f aca="false">D102/D89</f>
        <v>2.48902280701754</v>
      </c>
      <c r="E104" s="17" t="n">
        <f aca="false">E102/E89</f>
        <v>2.81700799289521</v>
      </c>
      <c r="F104" s="17" t="n">
        <f aca="false">F102/F89</f>
        <v>3.2610071942446</v>
      </c>
      <c r="G104" s="17" t="n">
        <f aca="false">G102/G89</f>
        <v>3.805310336</v>
      </c>
      <c r="H104" s="17" t="n">
        <f aca="false">H102/H89</f>
        <v>4.56231685762309</v>
      </c>
      <c r="I104" s="17" t="n">
        <f aca="false">I102/I89</f>
        <v>5.24106020637255</v>
      </c>
    </row>
    <row r="105" customFormat="false" ht="15" hidden="false" customHeight="false" outlineLevel="0" collapsed="false">
      <c r="B105" s="9" t="s">
        <v>247</v>
      </c>
      <c r="C105" s="20" t="s">
        <v>61</v>
      </c>
      <c r="D105" s="17" t="n">
        <f aca="false">Inputs!$D$22</f>
        <v>0.9</v>
      </c>
      <c r="E105" s="17" t="n">
        <f aca="false">Inputs!$E$22</f>
        <v>0.96</v>
      </c>
      <c r="F105" s="17" t="n">
        <f aca="false">Inputs!$F$22</f>
        <v>1.02</v>
      </c>
      <c r="G105" s="17" t="n">
        <f aca="false">Inputs!$G$22</f>
        <v>1.1</v>
      </c>
      <c r="H105" s="17" t="n">
        <f aca="false">Inputs!$H$22</f>
        <v>1.2</v>
      </c>
      <c r="I105" s="17" t="n">
        <f aca="false">Inputs!$I$22</f>
        <v>1.3</v>
      </c>
    </row>
    <row r="106" customFormat="false" ht="15" hidden="false" customHeight="false" outlineLevel="0" collapsed="false">
      <c r="B106" s="9" t="s">
        <v>248</v>
      </c>
      <c r="C106" s="20" t="s">
        <v>78</v>
      </c>
      <c r="D106" s="15" t="n">
        <f aca="false">D105*D89</f>
        <v>51.3</v>
      </c>
      <c r="E106" s="15" t="n">
        <f aca="false">E105*E89</f>
        <v>54.048</v>
      </c>
      <c r="F106" s="15" t="n">
        <f aca="false">F105*F89</f>
        <v>56.712</v>
      </c>
      <c r="G106" s="15" t="n">
        <f aca="false">G105*G89</f>
        <v>60.5</v>
      </c>
      <c r="H106" s="15" t="n">
        <f aca="false">H105*H89</f>
        <v>65.28</v>
      </c>
      <c r="I106" s="15" t="n">
        <f aca="false">I105*I89</f>
        <v>69.94</v>
      </c>
    </row>
    <row r="107" customFormat="false" ht="15" hidden="false" customHeight="false" outlineLevel="0" collapsed="false">
      <c r="B107" s="9" t="s">
        <v>48</v>
      </c>
      <c r="C107" s="20" t="s">
        <v>78</v>
      </c>
      <c r="D107" s="9"/>
      <c r="E107" s="9"/>
      <c r="F107" s="9"/>
      <c r="G107" s="15" t="n">
        <f aca="false">Inputs!$G$24</f>
        <v>55</v>
      </c>
      <c r="H107" s="15" t="n">
        <f aca="false">Inputs!$H$24</f>
        <v>55</v>
      </c>
      <c r="I107" s="15" t="n">
        <f aca="false">Inputs!$I$24</f>
        <v>55</v>
      </c>
    </row>
    <row r="108" customFormat="false" ht="15" hidden="false" customHeight="false" outlineLevel="0" collapsed="false">
      <c r="B108" s="26" t="s">
        <v>249</v>
      </c>
      <c r="C108" s="20" t="s">
        <v>78</v>
      </c>
      <c r="D108" s="27" t="n">
        <f aca="false">Inputs!$D$23</f>
        <v>1210</v>
      </c>
      <c r="E108" s="27" t="n">
        <f aca="false">Inputs!$E$23</f>
        <v>1160</v>
      </c>
      <c r="F108" s="27" t="n">
        <f aca="false">Inputs!$F$23</f>
        <v>1100</v>
      </c>
      <c r="G108" s="27" t="n">
        <f aca="false">F108-G102+G106+G107</f>
        <v>1006.20793152</v>
      </c>
      <c r="H108" s="27" t="n">
        <f aca="false">G108-H102+H106+H107</f>
        <v>878.297894465304</v>
      </c>
      <c r="I108" s="27" t="n">
        <f aca="false">H108-I102+I106+I107</f>
        <v>721.268855362461</v>
      </c>
    </row>
    <row r="109" customFormat="false" ht="15" hidden="false" customHeight="false" outlineLevel="0" collapsed="false">
      <c r="B109" s="9" t="s">
        <v>250</v>
      </c>
      <c r="C109" s="20" t="s">
        <v>251</v>
      </c>
      <c r="D109" s="30" t="n">
        <f aca="false">D108/D80</f>
        <v>3.69815703413918</v>
      </c>
      <c r="E109" s="30" t="n">
        <f aca="false">E108/E80</f>
        <v>3.1863317355894</v>
      </c>
      <c r="F109" s="30" t="n">
        <f aca="false">F108/F80</f>
        <v>2.75551102204409</v>
      </c>
      <c r="G109" s="30" t="n">
        <f aca="false">G108/G80</f>
        <v>2.30824513970265</v>
      </c>
      <c r="H109" s="30" t="n">
        <f aca="false">H108/H80</f>
        <v>1.82781367313217</v>
      </c>
      <c r="I109" s="30" t="n">
        <f aca="false">I108/I80</f>
        <v>1.37025598076717</v>
      </c>
    </row>
    <row r="110" customFormat="false" ht="15" hidden="false" customHeight="false" outlineLevel="0" collapsed="false">
      <c r="B110" s="9" t="s">
        <v>252</v>
      </c>
      <c r="C110" s="20" t="s">
        <v>78</v>
      </c>
      <c r="D110" s="15" t="n">
        <f aca="false">D83*(1-Inputs!$D$79)+D79+D81-D100-D101</f>
        <v>186.5343</v>
      </c>
      <c r="E110" s="15" t="n">
        <f aca="false">E83*(1-Inputs!$D$79)+E79+E81-E100-E101</f>
        <v>200.94755</v>
      </c>
      <c r="F110" s="15" t="n">
        <f aca="false">F83*(1-Inputs!$D$79)+F79+F81-F100-F101</f>
        <v>221.352</v>
      </c>
      <c r="G110" s="15" t="n">
        <f aca="false">G83*(1-Inputs!$D$79)+G79+G81-G100-G101</f>
        <v>251.64206848</v>
      </c>
      <c r="H110" s="15" t="n">
        <f aca="false">H83*(1-Inputs!$D$79)+H79+H81-H100-H101</f>
        <v>286.929042418216</v>
      </c>
      <c r="I110" s="15" t="n">
        <f aca="false">I83*(1-Inputs!$D$79)+I79+I81-I100-I101</f>
        <v>315.783508039757</v>
      </c>
    </row>
    <row r="111" customFormat="false" ht="15" hidden="false" customHeight="false" outlineLevel="0" collapsed="false">
      <c r="B111" s="18" t="s">
        <v>253</v>
      </c>
      <c r="C111" s="19"/>
      <c r="D111" s="19"/>
      <c r="E111" s="19"/>
      <c r="F111" s="19"/>
      <c r="G111" s="19"/>
      <c r="H111" s="19"/>
      <c r="I111" s="19"/>
    </row>
    <row r="112" customFormat="false" ht="15" hidden="false" customHeight="false" outlineLevel="0" collapsed="false">
      <c r="B112" s="9" t="s">
        <v>254</v>
      </c>
      <c r="C112" s="20" t="s">
        <v>206</v>
      </c>
      <c r="D112" s="9"/>
      <c r="E112" s="14" t="n">
        <f aca="false">(E70-D70)/(E57-D57)</f>
        <v>0.241555555555556</v>
      </c>
      <c r="F112" s="14" t="n">
        <f aca="false">(F70-E70)/(F57-E57)</f>
        <v>0.254</v>
      </c>
      <c r="G112" s="14" t="n">
        <f aca="false">(G70-F70)/(G57-F57)</f>
        <v>0.188737588652483</v>
      </c>
      <c r="H112" s="14" t="n">
        <f aca="false">(H70-G70)/(H57-G57)</f>
        <v>0.235009900990099</v>
      </c>
      <c r="I112" s="14" t="n">
        <f aca="false">(I70-H70)/(I57-H57)</f>
        <v>0.227912087912088</v>
      </c>
    </row>
    <row r="113" customFormat="false" ht="15" hidden="false" customHeight="false" outlineLevel="0" collapsed="false">
      <c r="B113" s="9" t="s">
        <v>255</v>
      </c>
      <c r="C113" s="20" t="s">
        <v>206</v>
      </c>
      <c r="D113" s="9"/>
      <c r="E113" s="14" t="n">
        <f aca="false">(E72-D72)/(E61-D61)</f>
        <v>0.280090909090909</v>
      </c>
      <c r="F113" s="14" t="n">
        <f aca="false">(F72-E72)/(F61-E61)</f>
        <v>0.284454545454545</v>
      </c>
      <c r="G113" s="14" t="n">
        <f aca="false">(G72-F72)/(G61-F61)</f>
        <v>0.300687338501292</v>
      </c>
      <c r="H113" s="14" t="n">
        <f aca="false">(H72-G72)/(H61-G61)</f>
        <v>0.293711656441718</v>
      </c>
      <c r="I113" s="14" t="n">
        <f aca="false">(I72-H72)/(I61-H61)</f>
        <v>0.284704595185996</v>
      </c>
    </row>
    <row r="114" customFormat="false" ht="15" hidden="false" customHeight="false" outlineLevel="0" collapsed="false">
      <c r="B114" s="9" t="s">
        <v>256</v>
      </c>
      <c r="C114" s="20" t="s">
        <v>206</v>
      </c>
      <c r="D114" s="9"/>
      <c r="E114" s="14" t="n">
        <f aca="false">(E74-D74)/(E65-D65)</f>
        <v>0.298333333333333</v>
      </c>
      <c r="F114" s="14" t="n">
        <f aca="false">(F74-E74)/(F65-E65)</f>
        <v>0.308333333333333</v>
      </c>
      <c r="G114" s="14" t="n">
        <f aca="false">(G74-F74)/(G65-F65)</f>
        <v>0.285134831460674</v>
      </c>
      <c r="H114" s="14" t="n">
        <f aca="false">(H74-G74)/(H65-G65)</f>
        <v>0.285292730844794</v>
      </c>
      <c r="I114" s="14" t="n">
        <f aca="false">(I74-H74)/(I65-H65)</f>
        <v>0.274195153896529</v>
      </c>
    </row>
    <row r="115" customFormat="false" ht="15" hidden="false" customHeight="false" outlineLevel="0" collapsed="false">
      <c r="B115" s="9" t="s">
        <v>257</v>
      </c>
      <c r="C115" s="20" t="s">
        <v>206</v>
      </c>
      <c r="D115" s="9"/>
      <c r="E115" s="14" t="n">
        <f aca="false">(E77-D77)/(E66-D66)</f>
        <v>0.255576923076923</v>
      </c>
      <c r="F115" s="14" t="n">
        <f aca="false">(F77-E77)/(F66-E66)</f>
        <v>0.264875</v>
      </c>
      <c r="G115" s="14" t="n">
        <f aca="false">(G77-F77)/(G66-F66)</f>
        <v>0.248648544391538</v>
      </c>
      <c r="H115" s="14" t="n">
        <f aca="false">(H77-G77)/(H66-G66)</f>
        <v>0.260973370012344</v>
      </c>
      <c r="I115" s="14" t="n">
        <f aca="false">(I77-H77)/(I66-H66)</f>
        <v>0.251084034052456</v>
      </c>
    </row>
    <row r="117" customFormat="false" ht="15" hidden="false" customHeight="false" outlineLevel="0" collapsed="false">
      <c r="B117" s="7" t="s">
        <v>416</v>
      </c>
      <c r="C117" s="8"/>
      <c r="D117" s="8" t="s">
        <v>23</v>
      </c>
      <c r="E117" s="8" t="s">
        <v>24</v>
      </c>
      <c r="F117" s="8" t="s">
        <v>25</v>
      </c>
      <c r="G117" s="8" t="s">
        <v>26</v>
      </c>
      <c r="H117" s="8" t="s">
        <v>27</v>
      </c>
      <c r="I117" s="8" t="s">
        <v>28</v>
      </c>
    </row>
    <row r="118" customFormat="false" ht="15" hidden="false" customHeight="false" outlineLevel="0" collapsed="false">
      <c r="B118" s="18" t="s">
        <v>205</v>
      </c>
      <c r="C118" s="19"/>
      <c r="D118" s="19"/>
      <c r="E118" s="19"/>
      <c r="F118" s="19"/>
      <c r="G118" s="19"/>
      <c r="H118" s="19"/>
      <c r="I118" s="19"/>
    </row>
    <row r="119" customFormat="false" ht="15" hidden="false" customHeight="false" outlineLevel="0" collapsed="false">
      <c r="B119" s="9" t="s">
        <v>32</v>
      </c>
      <c r="C119" s="20" t="s">
        <v>206</v>
      </c>
      <c r="D119" s="14" t="n">
        <f aca="false">(1+D121)/(1+D120)-1</f>
        <v>0.0103708741165327</v>
      </c>
      <c r="E119" s="14" t="n">
        <f aca="false">(1+E121)/(1+E120)-1</f>
        <v>0.0128827483196416</v>
      </c>
      <c r="F119" s="14" t="n">
        <f aca="false">(1+F121)/(1+F120)-1</f>
        <v>0.00708103855232101</v>
      </c>
      <c r="G119" s="14" t="n">
        <f aca="false">(Inputs!$G$8+$D$4)</f>
        <v>0.02</v>
      </c>
      <c r="H119" s="14" t="n">
        <f aca="false">(Inputs!$H$8+$D$4)</f>
        <v>0.03</v>
      </c>
      <c r="I119" s="14" t="n">
        <f aca="false">(Inputs!$I$8+$D$4)</f>
        <v>0.035</v>
      </c>
    </row>
    <row r="120" customFormat="false" ht="15" hidden="false" customHeight="false" outlineLevel="0" collapsed="false">
      <c r="B120" s="9" t="s">
        <v>35</v>
      </c>
      <c r="C120" s="20" t="s">
        <v>206</v>
      </c>
      <c r="D120" s="14" t="n">
        <f aca="false">Inputs!$D$11</f>
        <v>0.045</v>
      </c>
      <c r="E120" s="14" t="n">
        <f aca="false">Inputs!$E$11</f>
        <v>0.03</v>
      </c>
      <c r="F120" s="14" t="n">
        <f aca="false">Inputs!$F$11</f>
        <v>0.025</v>
      </c>
      <c r="G120" s="14" t="n">
        <f aca="false">Inputs!$G$11</f>
        <v>0.025</v>
      </c>
      <c r="H120" s="14" t="n">
        <f aca="false">Inputs!$H$11</f>
        <v>0.02</v>
      </c>
      <c r="I120" s="14" t="n">
        <f aca="false">Inputs!$I$11</f>
        <v>0.02</v>
      </c>
    </row>
    <row r="121" customFormat="false" ht="15" hidden="false" customHeight="false" outlineLevel="0" collapsed="false">
      <c r="B121" s="9" t="s">
        <v>207</v>
      </c>
      <c r="C121" s="20" t="s">
        <v>206</v>
      </c>
      <c r="D121" s="14" t="n">
        <f aca="false">D122/Inputs!$C$5-1</f>
        <v>0.0558375634517767</v>
      </c>
      <c r="E121" s="14" t="n">
        <f aca="false">E122/D122-1</f>
        <v>0.0432692307692308</v>
      </c>
      <c r="F121" s="14" t="n">
        <f aca="false">F122/E122-1</f>
        <v>0.032258064516129</v>
      </c>
      <c r="G121" s="14" t="n">
        <f aca="false">(1+G119)*(1+G120)-1</f>
        <v>0.0454999999999999</v>
      </c>
      <c r="H121" s="14" t="n">
        <f aca="false">(1+H119)*(1+H120)-1</f>
        <v>0.0506</v>
      </c>
      <c r="I121" s="14" t="n">
        <f aca="false">(1+I119)*(1+I120)-1</f>
        <v>0.0556999999999999</v>
      </c>
    </row>
    <row r="122" customFormat="false" ht="15" hidden="false" customHeight="false" outlineLevel="0" collapsed="false">
      <c r="B122" s="9" t="s">
        <v>208</v>
      </c>
      <c r="C122" s="20" t="s">
        <v>78</v>
      </c>
      <c r="D122" s="15" t="n">
        <f aca="false">Inputs!$D$5</f>
        <v>1040</v>
      </c>
      <c r="E122" s="15" t="n">
        <f aca="false">Inputs!$E$5</f>
        <v>1085</v>
      </c>
      <c r="F122" s="15" t="n">
        <f aca="false">Inputs!$F$5</f>
        <v>1120</v>
      </c>
      <c r="G122" s="15" t="n">
        <f aca="false">F122*(1+G121)</f>
        <v>1170.96</v>
      </c>
      <c r="H122" s="15" t="n">
        <f aca="false">G122*(1+H121)</f>
        <v>1230.210576</v>
      </c>
      <c r="I122" s="15" t="n">
        <f aca="false">H122*(1+I121)</f>
        <v>1298.7333050832</v>
      </c>
    </row>
    <row r="123" customFormat="false" ht="15" hidden="false" customHeight="false" outlineLevel="0" collapsed="false">
      <c r="B123" s="9" t="s">
        <v>33</v>
      </c>
      <c r="C123" s="20" t="s">
        <v>206</v>
      </c>
      <c r="D123" s="14" t="n">
        <f aca="false">(1+D125)/(1+D124)-1</f>
        <v>0.0661409719987125</v>
      </c>
      <c r="E123" s="14" t="n">
        <f aca="false">(1+E125)/(1+E124)-1</f>
        <v>0.0716248397142334</v>
      </c>
      <c r="F123" s="14" t="n">
        <f aca="false">(1+F125)/(1+F124)-1</f>
        <v>0.0673337502605798</v>
      </c>
      <c r="G123" s="14" t="n">
        <f aca="false">Inputs!$G$9</f>
        <v>0.06</v>
      </c>
      <c r="H123" s="14" t="n">
        <f aca="false">Inputs!$H$9</f>
        <v>0.065</v>
      </c>
      <c r="I123" s="14" t="n">
        <f aca="false">Inputs!$I$9</f>
        <v>0.06</v>
      </c>
    </row>
    <row r="124" customFormat="false" ht="15" hidden="false" customHeight="false" outlineLevel="0" collapsed="false">
      <c r="B124" s="9" t="s">
        <v>36</v>
      </c>
      <c r="C124" s="20" t="s">
        <v>206</v>
      </c>
      <c r="D124" s="14" t="n">
        <f aca="false">Inputs!$D$12</f>
        <v>0.04</v>
      </c>
      <c r="E124" s="14" t="n">
        <f aca="false">Inputs!$E$12</f>
        <v>0.03</v>
      </c>
      <c r="F124" s="14" t="n">
        <f aca="false">Inputs!$F$12</f>
        <v>0.025</v>
      </c>
      <c r="G124" s="14" t="n">
        <f aca="false">Inputs!$G$12</f>
        <v>0.025</v>
      </c>
      <c r="H124" s="14" t="n">
        <f aca="false">Inputs!$H$12</f>
        <v>0.025</v>
      </c>
      <c r="I124" s="14" t="n">
        <f aca="false">Inputs!$I$12</f>
        <v>0.02</v>
      </c>
    </row>
    <row r="125" customFormat="false" ht="15" hidden="false" customHeight="false" outlineLevel="0" collapsed="false">
      <c r="B125" s="9" t="s">
        <v>209</v>
      </c>
      <c r="C125" s="20" t="s">
        <v>206</v>
      </c>
      <c r="D125" s="14" t="n">
        <f aca="false">D126/Inputs!$C$6-1</f>
        <v>0.108786610878661</v>
      </c>
      <c r="E125" s="14" t="n">
        <f aca="false">E126/D126-1</f>
        <v>0.10377358490566</v>
      </c>
      <c r="F125" s="14" t="n">
        <f aca="false">F126/E126-1</f>
        <v>0.0940170940170941</v>
      </c>
      <c r="G125" s="14" t="n">
        <f aca="false">(1+G123)*(1+G124)-1</f>
        <v>0.0865</v>
      </c>
      <c r="H125" s="14" t="n">
        <f aca="false">(1+H123)*(1+H124)-1</f>
        <v>0.0916249999999999</v>
      </c>
      <c r="I125" s="14" t="n">
        <f aca="false">(1+I123)*(1+I124)-1</f>
        <v>0.0812000000000002</v>
      </c>
    </row>
    <row r="126" customFormat="false" ht="15" hidden="false" customHeight="false" outlineLevel="0" collapsed="false">
      <c r="B126" s="9" t="s">
        <v>210</v>
      </c>
      <c r="C126" s="20" t="s">
        <v>78</v>
      </c>
      <c r="D126" s="15" t="n">
        <f aca="false">Inputs!$D$6</f>
        <v>530</v>
      </c>
      <c r="E126" s="15" t="n">
        <f aca="false">Inputs!$E$6</f>
        <v>585</v>
      </c>
      <c r="F126" s="15" t="n">
        <f aca="false">Inputs!$F$6</f>
        <v>640</v>
      </c>
      <c r="G126" s="15" t="n">
        <f aca="false">F126*(1+G125)</f>
        <v>695.36</v>
      </c>
      <c r="H126" s="15" t="n">
        <f aca="false">G126*(1+H125)</f>
        <v>759.07236</v>
      </c>
      <c r="I126" s="15" t="n">
        <f aca="false">H126*(1+I125)</f>
        <v>820.709035632</v>
      </c>
    </row>
    <row r="127" customFormat="false" ht="15" hidden="false" customHeight="false" outlineLevel="0" collapsed="false">
      <c r="B127" s="9" t="s">
        <v>34</v>
      </c>
      <c r="C127" s="20" t="s">
        <v>206</v>
      </c>
      <c r="D127" s="14" t="n">
        <f aca="false">(1+D129)/(1+D128)-1</f>
        <v>0.0281385281385282</v>
      </c>
      <c r="E127" s="14" t="n">
        <f aca="false">(1+E129)/(1+E128)-1</f>
        <v>0.0424612255275871</v>
      </c>
      <c r="F127" s="14" t="n">
        <f aca="false">(1+F129)/(1+F128)-1</f>
        <v>0.0419133317546767</v>
      </c>
      <c r="G127" s="14" t="n">
        <f aca="false">Inputs!$G$10</f>
        <v>0.04</v>
      </c>
      <c r="H127" s="14" t="n">
        <f aca="false">Inputs!$H$10</f>
        <v>0.045</v>
      </c>
      <c r="I127" s="14" t="n">
        <f aca="false">Inputs!$I$10</f>
        <v>0.045</v>
      </c>
    </row>
    <row r="128" customFormat="false" ht="15" hidden="false" customHeight="false" outlineLevel="0" collapsed="false">
      <c r="B128" s="9" t="s">
        <v>37</v>
      </c>
      <c r="C128" s="20" t="s">
        <v>206</v>
      </c>
      <c r="D128" s="14" t="n">
        <f aca="false">Inputs!$D$13</f>
        <v>0.05</v>
      </c>
      <c r="E128" s="14" t="n">
        <f aca="false">Inputs!$E$13</f>
        <v>0.035</v>
      </c>
      <c r="F128" s="14" t="n">
        <f aca="false">Inputs!$F$13</f>
        <v>0.03</v>
      </c>
      <c r="G128" s="14" t="n">
        <f aca="false">Inputs!$G$13</f>
        <v>0.03</v>
      </c>
      <c r="H128" s="14" t="n">
        <f aca="false">Inputs!$H$13</f>
        <v>0.03</v>
      </c>
      <c r="I128" s="14" t="n">
        <f aca="false">Inputs!$I$13</f>
        <v>0.03</v>
      </c>
    </row>
    <row r="129" customFormat="false" ht="15" hidden="false" customHeight="false" outlineLevel="0" collapsed="false">
      <c r="B129" s="9" t="s">
        <v>211</v>
      </c>
      <c r="C129" s="20" t="s">
        <v>206</v>
      </c>
      <c r="D129" s="14" t="n">
        <f aca="false">D130/Inputs!$C$7-1</f>
        <v>0.0795454545454546</v>
      </c>
      <c r="E129" s="14" t="n">
        <f aca="false">E130/D130-1</f>
        <v>0.0789473684210527</v>
      </c>
      <c r="F129" s="14" t="n">
        <f aca="false">F130/E130-1</f>
        <v>0.0731707317073171</v>
      </c>
      <c r="G129" s="14" t="n">
        <f aca="false">(1+G127)*(1+G128)-1</f>
        <v>0.0712000000000002</v>
      </c>
      <c r="H129" s="14" t="n">
        <f aca="false">(1+H127)*(1+H128)-1</f>
        <v>0.0763499999999999</v>
      </c>
      <c r="I129" s="14" t="n">
        <f aca="false">(1+I127)*(1+I128)-1</f>
        <v>0.0763499999999999</v>
      </c>
    </row>
    <row r="130" customFormat="false" ht="15" hidden="false" customHeight="false" outlineLevel="0" collapsed="false">
      <c r="B130" s="9" t="s">
        <v>212</v>
      </c>
      <c r="C130" s="20" t="s">
        <v>78</v>
      </c>
      <c r="D130" s="15" t="n">
        <f aca="false">Inputs!$D$7</f>
        <v>380</v>
      </c>
      <c r="E130" s="15" t="n">
        <f aca="false">Inputs!$E$7</f>
        <v>410</v>
      </c>
      <c r="F130" s="15" t="n">
        <f aca="false">Inputs!$F$7</f>
        <v>440</v>
      </c>
      <c r="G130" s="15" t="n">
        <f aca="false">F130*(1+G129)</f>
        <v>471.328</v>
      </c>
      <c r="H130" s="15" t="n">
        <f aca="false">G130*(1+H129)</f>
        <v>507.3138928</v>
      </c>
      <c r="I130" s="15" t="n">
        <f aca="false">H130*(1+I129)</f>
        <v>546.04730851528</v>
      </c>
    </row>
    <row r="131" customFormat="false" ht="15" hidden="false" customHeight="false" outlineLevel="0" collapsed="false">
      <c r="B131" s="26" t="s">
        <v>213</v>
      </c>
      <c r="C131" s="20" t="s">
        <v>78</v>
      </c>
      <c r="D131" s="27" t="n">
        <f aca="false">D122+D126+D130</f>
        <v>1950</v>
      </c>
      <c r="E131" s="27" t="n">
        <f aca="false">E122+E126+E130</f>
        <v>2080</v>
      </c>
      <c r="F131" s="27" t="n">
        <f aca="false">F122+F126+F130</f>
        <v>2200</v>
      </c>
      <c r="G131" s="27" t="n">
        <f aca="false">G122+G126+G130</f>
        <v>2337.648</v>
      </c>
      <c r="H131" s="27" t="n">
        <f aca="false">H122+H126+H130</f>
        <v>2496.5968288</v>
      </c>
      <c r="I131" s="27" t="n">
        <f aca="false">I122+I126+I130</f>
        <v>2665.48964923048</v>
      </c>
    </row>
    <row r="132" customFormat="false" ht="15" hidden="false" customHeight="false" outlineLevel="0" collapsed="false">
      <c r="B132" s="9" t="s">
        <v>214</v>
      </c>
      <c r="C132" s="20" t="s">
        <v>206</v>
      </c>
      <c r="D132" s="14" t="n">
        <f aca="false">D131/(Inputs!$C$5+Inputs!$C$6+Inputs!$C$7)-1</f>
        <v>0.0743801652892562</v>
      </c>
      <c r="E132" s="14" t="n">
        <f aca="false">E131/D131-1</f>
        <v>0.0666666666666667</v>
      </c>
      <c r="F132" s="14" t="n">
        <f aca="false">F131/E131-1</f>
        <v>0.0576923076923077</v>
      </c>
      <c r="G132" s="14" t="n">
        <f aca="false">G131/F131-1</f>
        <v>0.0625672727272726</v>
      </c>
      <c r="H132" s="14" t="n">
        <f aca="false">H131/G131-1</f>
        <v>0.067995193801633</v>
      </c>
      <c r="I132" s="14" t="n">
        <f aca="false">I131/H131-1</f>
        <v>0.0676492169188805</v>
      </c>
    </row>
    <row r="133" customFormat="false" ht="15" hidden="false" customHeight="false" outlineLevel="0" collapsed="false">
      <c r="B133" s="18" t="s">
        <v>215</v>
      </c>
      <c r="C133" s="19"/>
      <c r="D133" s="19"/>
      <c r="E133" s="19"/>
      <c r="F133" s="19"/>
      <c r="G133" s="19"/>
      <c r="H133" s="19"/>
      <c r="I133" s="19"/>
    </row>
    <row r="134" customFormat="false" ht="15" hidden="false" customHeight="false" outlineLevel="0" collapsed="false">
      <c r="B134" s="9" t="s">
        <v>38</v>
      </c>
      <c r="C134" s="20" t="s">
        <v>206</v>
      </c>
      <c r="D134" s="14" t="n">
        <f aca="false">Inputs!$D$14</f>
        <v>0.121</v>
      </c>
      <c r="E134" s="14" t="n">
        <f aca="false">Inputs!$E$14</f>
        <v>0.126</v>
      </c>
      <c r="F134" s="14" t="n">
        <f aca="false">Inputs!$F$14</f>
        <v>0.13</v>
      </c>
      <c r="G134" s="14" t="n">
        <f aca="false">Inputs!$G$14</f>
        <v>0.132</v>
      </c>
      <c r="H134" s="14" t="n">
        <f aca="false">Inputs!$H$14</f>
        <v>0.136</v>
      </c>
      <c r="I134" s="14" t="n">
        <f aca="false">Inputs!$I$14</f>
        <v>0.14</v>
      </c>
    </row>
    <row r="135" customFormat="false" ht="15" hidden="false" customHeight="false" outlineLevel="0" collapsed="false">
      <c r="B135" s="9" t="s">
        <v>216</v>
      </c>
      <c r="C135" s="20" t="s">
        <v>78</v>
      </c>
      <c r="D135" s="15" t="n">
        <f aca="false">D122*D134</f>
        <v>125.84</v>
      </c>
      <c r="E135" s="15" t="n">
        <f aca="false">E122*E134</f>
        <v>136.71</v>
      </c>
      <c r="F135" s="15" t="n">
        <f aca="false">F122*F134</f>
        <v>145.6</v>
      </c>
      <c r="G135" s="15" t="n">
        <f aca="false">G122*G134</f>
        <v>154.56672</v>
      </c>
      <c r="H135" s="15" t="n">
        <f aca="false">H122*H134</f>
        <v>167.308638336</v>
      </c>
      <c r="I135" s="15" t="n">
        <f aca="false">I122*I134</f>
        <v>181.822662711648</v>
      </c>
    </row>
    <row r="136" customFormat="false" ht="15" hidden="false" customHeight="false" outlineLevel="0" collapsed="false">
      <c r="B136" s="9" t="s">
        <v>39</v>
      </c>
      <c r="C136" s="20" t="s">
        <v>206</v>
      </c>
      <c r="D136" s="14" t="n">
        <f aca="false">Inputs!$D$15</f>
        <v>0.195</v>
      </c>
      <c r="E136" s="14" t="n">
        <f aca="false">Inputs!$E$15</f>
        <v>0.203</v>
      </c>
      <c r="F136" s="14" t="n">
        <f aca="false">Inputs!$F$15</f>
        <v>0.21</v>
      </c>
      <c r="G136" s="14" t="n">
        <f aca="false">Inputs!$G$15</f>
        <v>0.218</v>
      </c>
      <c r="H136" s="14" t="n">
        <f aca="false">Inputs!$H$15</f>
        <v>0.225</v>
      </c>
      <c r="I136" s="14" t="n">
        <f aca="false">Inputs!$I$15</f>
        <v>0.23</v>
      </c>
    </row>
    <row r="137" customFormat="false" ht="15" hidden="false" customHeight="false" outlineLevel="0" collapsed="false">
      <c r="B137" s="9" t="s">
        <v>217</v>
      </c>
      <c r="C137" s="20" t="s">
        <v>78</v>
      </c>
      <c r="D137" s="15" t="n">
        <f aca="false">D126*D136</f>
        <v>103.35</v>
      </c>
      <c r="E137" s="15" t="n">
        <f aca="false">E126*E136</f>
        <v>118.755</v>
      </c>
      <c r="F137" s="15" t="n">
        <f aca="false">F126*F136</f>
        <v>134.4</v>
      </c>
      <c r="G137" s="15" t="n">
        <f aca="false">G126*G136</f>
        <v>151.58848</v>
      </c>
      <c r="H137" s="15" t="n">
        <f aca="false">H126*H136</f>
        <v>170.791281</v>
      </c>
      <c r="I137" s="15" t="n">
        <f aca="false">I126*I136</f>
        <v>188.76307819536</v>
      </c>
    </row>
    <row r="138" customFormat="false" ht="15" hidden="false" customHeight="false" outlineLevel="0" collapsed="false">
      <c r="B138" s="9" t="s">
        <v>40</v>
      </c>
      <c r="C138" s="20" t="s">
        <v>206</v>
      </c>
      <c r="D138" s="14" t="n">
        <f aca="false">Inputs!$D$16</f>
        <v>0.23</v>
      </c>
      <c r="E138" s="14" t="n">
        <f aca="false">Inputs!$E$16</f>
        <v>0.235</v>
      </c>
      <c r="F138" s="14" t="n">
        <f aca="false">Inputs!$F$16</f>
        <v>0.24</v>
      </c>
      <c r="G138" s="14" t="n">
        <f aca="false">Inputs!$G$16</f>
        <v>0.243</v>
      </c>
      <c r="H138" s="14" t="n">
        <f aca="false">Inputs!$H$16</f>
        <v>0.246</v>
      </c>
      <c r="I138" s="14" t="n">
        <f aca="false">Inputs!$I$16</f>
        <v>0.248</v>
      </c>
    </row>
    <row r="139" customFormat="false" ht="15" hidden="false" customHeight="false" outlineLevel="0" collapsed="false">
      <c r="B139" s="9" t="s">
        <v>218</v>
      </c>
      <c r="C139" s="20" t="s">
        <v>78</v>
      </c>
      <c r="D139" s="15" t="n">
        <f aca="false">D130*D138</f>
        <v>87.4</v>
      </c>
      <c r="E139" s="15" t="n">
        <f aca="false">E130*E138</f>
        <v>96.35</v>
      </c>
      <c r="F139" s="15" t="n">
        <f aca="false">F130*F138</f>
        <v>105.6</v>
      </c>
      <c r="G139" s="15" t="n">
        <f aca="false">G130*G138</f>
        <v>114.532704</v>
      </c>
      <c r="H139" s="15" t="n">
        <f aca="false">H130*H138</f>
        <v>124.7992176288</v>
      </c>
      <c r="I139" s="15" t="n">
        <f aca="false">I130*I138</f>
        <v>135.419732511789</v>
      </c>
    </row>
    <row r="140" customFormat="false" ht="15" hidden="false" customHeight="false" outlineLevel="0" collapsed="false">
      <c r="B140" s="9" t="s">
        <v>219</v>
      </c>
      <c r="C140" s="20" t="s">
        <v>78</v>
      </c>
      <c r="D140" s="15" t="n">
        <f aca="false">D135+D137+D139</f>
        <v>316.59</v>
      </c>
      <c r="E140" s="15" t="n">
        <f aca="false">E135+E137+E139</f>
        <v>351.815</v>
      </c>
      <c r="F140" s="15" t="n">
        <f aca="false">F135+F137+F139</f>
        <v>385.6</v>
      </c>
      <c r="G140" s="15" t="n">
        <f aca="false">G135+G137+G139</f>
        <v>420.687904</v>
      </c>
      <c r="H140" s="15" t="n">
        <f aca="false">H135+H137+H139</f>
        <v>462.8991369648</v>
      </c>
      <c r="I140" s="15" t="n">
        <f aca="false">I135+I137+I139</f>
        <v>506.005473418797</v>
      </c>
    </row>
    <row r="141" customFormat="false" ht="15" hidden="false" customHeight="false" outlineLevel="0" collapsed="false">
      <c r="B141" s="9" t="s">
        <v>41</v>
      </c>
      <c r="C141" s="20" t="s">
        <v>78</v>
      </c>
      <c r="D141" s="15" t="n">
        <f aca="false">Inputs!$D$17</f>
        <v>44</v>
      </c>
      <c r="E141" s="15" t="n">
        <f aca="false">Inputs!$E$17</f>
        <v>46</v>
      </c>
      <c r="F141" s="15" t="n">
        <f aca="false">Inputs!$F$17</f>
        <v>48</v>
      </c>
      <c r="G141" s="15" t="n">
        <f aca="false">Inputs!$G$17</f>
        <v>50</v>
      </c>
      <c r="H141" s="15" t="n">
        <f aca="false">Inputs!$H$17</f>
        <v>52</v>
      </c>
      <c r="I141" s="15" t="n">
        <f aca="false">Inputs!$I$17</f>
        <v>54</v>
      </c>
    </row>
    <row r="142" customFormat="false" ht="15" hidden="false" customHeight="false" outlineLevel="0" collapsed="false">
      <c r="B142" s="26" t="s">
        <v>220</v>
      </c>
      <c r="C142" s="20" t="s">
        <v>78</v>
      </c>
      <c r="D142" s="27" t="n">
        <f aca="false">D140-D141</f>
        <v>272.59</v>
      </c>
      <c r="E142" s="27" t="n">
        <f aca="false">E140-E141</f>
        <v>305.815</v>
      </c>
      <c r="F142" s="27" t="n">
        <f aca="false">F140-F141</f>
        <v>337.6</v>
      </c>
      <c r="G142" s="27" t="n">
        <f aca="false">G140-G141</f>
        <v>370.687904</v>
      </c>
      <c r="H142" s="27" t="n">
        <f aca="false">H140-H141</f>
        <v>410.8991369648</v>
      </c>
      <c r="I142" s="27" t="n">
        <f aca="false">I140-I141</f>
        <v>452.005473418797</v>
      </c>
    </row>
    <row r="143" customFormat="false" ht="15" hidden="false" customHeight="false" outlineLevel="0" collapsed="false">
      <c r="B143" s="9" t="s">
        <v>221</v>
      </c>
      <c r="C143" s="20" t="s">
        <v>206</v>
      </c>
      <c r="D143" s="14" t="n">
        <f aca="false">D142/D131</f>
        <v>0.139789743589744</v>
      </c>
      <c r="E143" s="14" t="n">
        <f aca="false">E142/E131</f>
        <v>0.147026442307692</v>
      </c>
      <c r="F143" s="14" t="n">
        <f aca="false">F142/F131</f>
        <v>0.153454545454545</v>
      </c>
      <c r="G143" s="14" t="n">
        <f aca="false">G142/G131</f>
        <v>0.158573020403414</v>
      </c>
      <c r="H143" s="14" t="n">
        <f aca="false">H142/H131</f>
        <v>0.164583697385493</v>
      </c>
      <c r="I143" s="14" t="n">
        <f aca="false">I142/I131</f>
        <v>0.169576900645362</v>
      </c>
    </row>
    <row r="144" customFormat="false" ht="15" hidden="false" customHeight="false" outlineLevel="0" collapsed="false">
      <c r="B144" s="9" t="s">
        <v>222</v>
      </c>
      <c r="C144" s="20" t="s">
        <v>78</v>
      </c>
      <c r="D144" s="15" t="n">
        <f aca="false">D131*Inputs!$D$80</f>
        <v>54.6</v>
      </c>
      <c r="E144" s="15" t="n">
        <f aca="false">E131*Inputs!$D$80</f>
        <v>58.24</v>
      </c>
      <c r="F144" s="15" t="n">
        <f aca="false">F131*Inputs!$D$80</f>
        <v>61.6</v>
      </c>
      <c r="G144" s="15" t="n">
        <f aca="false">G131*Inputs!$D$80</f>
        <v>65.454144</v>
      </c>
      <c r="H144" s="15" t="n">
        <f aca="false">H131*Inputs!$D$80</f>
        <v>69.9047112064</v>
      </c>
      <c r="I144" s="15" t="n">
        <f aca="false">I131*Inputs!$D$80</f>
        <v>74.6337101784534</v>
      </c>
    </row>
    <row r="145" customFormat="false" ht="15" hidden="false" customHeight="false" outlineLevel="0" collapsed="false">
      <c r="B145" s="9" t="s">
        <v>223</v>
      </c>
      <c r="C145" s="20" t="s">
        <v>78</v>
      </c>
      <c r="D145" s="15" t="n">
        <f aca="false">D142+D144</f>
        <v>327.19</v>
      </c>
      <c r="E145" s="15" t="n">
        <f aca="false">E142+E144</f>
        <v>364.055</v>
      </c>
      <c r="F145" s="15" t="n">
        <f aca="false">F142+F144</f>
        <v>399.2</v>
      </c>
      <c r="G145" s="15" t="n">
        <f aca="false">G142+G144</f>
        <v>436.142048</v>
      </c>
      <c r="H145" s="15" t="n">
        <f aca="false">H142+H144</f>
        <v>480.8038481712</v>
      </c>
      <c r="I145" s="15" t="n">
        <f aca="false">I142+I144</f>
        <v>526.639183597251</v>
      </c>
    </row>
    <row r="146" customFormat="false" ht="15" hidden="false" customHeight="false" outlineLevel="0" collapsed="false">
      <c r="B146" s="9" t="s">
        <v>42</v>
      </c>
      <c r="C146" s="20" t="s">
        <v>78</v>
      </c>
      <c r="D146" s="15" t="n">
        <f aca="false">Inputs!$D$18</f>
        <v>38</v>
      </c>
      <c r="E146" s="15" t="n">
        <f aca="false">Inputs!$E$18</f>
        <v>38</v>
      </c>
      <c r="F146" s="15" t="n">
        <f aca="false">Inputs!$F$18</f>
        <v>38</v>
      </c>
      <c r="G146" s="15" t="n">
        <f aca="false">Inputs!$G$18</f>
        <v>38</v>
      </c>
      <c r="H146" s="15" t="n">
        <f aca="false">Inputs!$H$18</f>
        <v>36</v>
      </c>
      <c r="I146" s="15" t="n">
        <f aca="false">Inputs!$I$18</f>
        <v>34</v>
      </c>
    </row>
    <row r="147" customFormat="false" ht="15" hidden="false" customHeight="false" outlineLevel="0" collapsed="false">
      <c r="B147" s="9" t="s">
        <v>43</v>
      </c>
      <c r="C147" s="20" t="s">
        <v>78</v>
      </c>
      <c r="D147" s="15" t="n">
        <f aca="false">Inputs!$D$19</f>
        <v>0</v>
      </c>
      <c r="E147" s="15" t="n">
        <f aca="false">Inputs!$E$19</f>
        <v>15</v>
      </c>
      <c r="F147" s="15" t="n">
        <f aca="false">Inputs!$F$19</f>
        <v>22</v>
      </c>
      <c r="G147" s="15" t="n">
        <f aca="false">Inputs!$G$19</f>
        <v>12</v>
      </c>
      <c r="H147" s="15" t="n">
        <f aca="false">Inputs!$H$19</f>
        <v>0</v>
      </c>
      <c r="I147" s="15" t="n">
        <f aca="false">Inputs!$I$19</f>
        <v>0</v>
      </c>
    </row>
    <row r="148" customFormat="false" ht="15" hidden="false" customHeight="false" outlineLevel="0" collapsed="false">
      <c r="B148" s="9" t="s">
        <v>224</v>
      </c>
      <c r="C148" s="20" t="s">
        <v>78</v>
      </c>
      <c r="D148" s="15" t="n">
        <f aca="false">D142-D146-D147</f>
        <v>234.59</v>
      </c>
      <c r="E148" s="15" t="n">
        <f aca="false">E142-E146-E147</f>
        <v>252.815</v>
      </c>
      <c r="F148" s="15" t="n">
        <f aca="false">F142-F146-F147</f>
        <v>277.6</v>
      </c>
      <c r="G148" s="15" t="n">
        <f aca="false">G142-G146-G147</f>
        <v>320.687904</v>
      </c>
      <c r="H148" s="15" t="n">
        <f aca="false">H142-H146-H147</f>
        <v>374.8991369648</v>
      </c>
      <c r="I148" s="15" t="n">
        <f aca="false">I142-I146-I147</f>
        <v>418.005473418797</v>
      </c>
    </row>
    <row r="149" customFormat="false" ht="15" hidden="false" customHeight="false" outlineLevel="0" collapsed="false">
      <c r="B149" s="18" t="s">
        <v>225</v>
      </c>
      <c r="C149" s="19"/>
      <c r="D149" s="19"/>
      <c r="E149" s="19"/>
      <c r="F149" s="19"/>
      <c r="G149" s="19"/>
      <c r="H149" s="19"/>
      <c r="I149" s="19"/>
    </row>
    <row r="150" customFormat="false" ht="15" hidden="false" customHeight="false" outlineLevel="0" collapsed="false">
      <c r="B150" s="9" t="s">
        <v>226</v>
      </c>
      <c r="C150" s="20" t="s">
        <v>78</v>
      </c>
      <c r="D150" s="15" t="n">
        <f aca="false">Inputs!$D$20</f>
        <v>58</v>
      </c>
      <c r="E150" s="15" t="n">
        <f aca="false">Inputs!$E$20</f>
        <v>55</v>
      </c>
      <c r="F150" s="15" t="n">
        <f aca="false">Inputs!$F$20</f>
        <v>52</v>
      </c>
      <c r="G150" s="15" t="n">
        <f aca="false">F173*Inputs!$D$83</f>
        <v>55</v>
      </c>
      <c r="H150" s="15" t="n">
        <f aca="false">G173*Inputs!$D$83</f>
        <v>50.352377296</v>
      </c>
      <c r="I150" s="15" t="n">
        <f aca="false">H173*Inputs!$D$83</f>
        <v>44.0011858737112</v>
      </c>
    </row>
    <row r="151" customFormat="false" ht="15" hidden="false" customHeight="false" outlineLevel="0" collapsed="false">
      <c r="B151" s="9" t="s">
        <v>227</v>
      </c>
      <c r="C151" s="20" t="s">
        <v>78</v>
      </c>
      <c r="D151" s="15" t="n">
        <f aca="false">D148-D150</f>
        <v>176.59</v>
      </c>
      <c r="E151" s="15" t="n">
        <f aca="false">E148-E150</f>
        <v>197.815</v>
      </c>
      <c r="F151" s="15" t="n">
        <f aca="false">F148-F150</f>
        <v>225.6</v>
      </c>
      <c r="G151" s="15" t="n">
        <f aca="false">G148-G150</f>
        <v>265.687904</v>
      </c>
      <c r="H151" s="15" t="n">
        <f aca="false">H148-H150</f>
        <v>324.5467596688</v>
      </c>
      <c r="I151" s="15" t="n">
        <f aca="false">I148-I150</f>
        <v>374.004287545086</v>
      </c>
    </row>
    <row r="152" customFormat="false" ht="15" hidden="false" customHeight="false" outlineLevel="0" collapsed="false">
      <c r="B152" s="9" t="s">
        <v>228</v>
      </c>
      <c r="C152" s="20" t="s">
        <v>78</v>
      </c>
      <c r="D152" s="15" t="n">
        <f aca="false">D151*Inputs!$D$79</f>
        <v>40.6157</v>
      </c>
      <c r="E152" s="15" t="n">
        <f aca="false">E151*Inputs!$D$79</f>
        <v>45.49745</v>
      </c>
      <c r="F152" s="15" t="n">
        <f aca="false">F151*Inputs!$D$79</f>
        <v>51.888</v>
      </c>
      <c r="G152" s="15" t="n">
        <f aca="false">G151*Inputs!$D$79</f>
        <v>61.10821792</v>
      </c>
      <c r="H152" s="15" t="n">
        <f aca="false">H151*Inputs!$D$79</f>
        <v>74.645754723824</v>
      </c>
      <c r="I152" s="15" t="n">
        <f aca="false">I151*Inputs!$D$79</f>
        <v>86.0209861353699</v>
      </c>
    </row>
    <row r="153" customFormat="false" ht="15" hidden="false" customHeight="false" outlineLevel="0" collapsed="false">
      <c r="B153" s="9" t="s">
        <v>229</v>
      </c>
      <c r="C153" s="20" t="s">
        <v>78</v>
      </c>
      <c r="D153" s="15" t="n">
        <f aca="false">D151-D152</f>
        <v>135.9743</v>
      </c>
      <c r="E153" s="15" t="n">
        <f aca="false">E151-E152</f>
        <v>152.31755</v>
      </c>
      <c r="F153" s="15" t="n">
        <f aca="false">F151-F152</f>
        <v>173.712</v>
      </c>
      <c r="G153" s="15" t="n">
        <f aca="false">G151-G152</f>
        <v>204.57968608</v>
      </c>
      <c r="H153" s="15" t="n">
        <f aca="false">H151-H152</f>
        <v>249.901004944976</v>
      </c>
      <c r="I153" s="15" t="n">
        <f aca="false">I151-I152</f>
        <v>287.983301409716</v>
      </c>
    </row>
    <row r="154" customFormat="false" ht="15" hidden="false" customHeight="false" outlineLevel="0" collapsed="false">
      <c r="B154" s="9" t="s">
        <v>230</v>
      </c>
      <c r="C154" s="20" t="s">
        <v>231</v>
      </c>
      <c r="D154" s="16" t="n">
        <f aca="false">Inputs!$D$21</f>
        <v>57</v>
      </c>
      <c r="E154" s="16" t="n">
        <f aca="false">Inputs!$E$21</f>
        <v>56.3</v>
      </c>
      <c r="F154" s="16" t="n">
        <f aca="false">Inputs!$F$21</f>
        <v>55.6</v>
      </c>
      <c r="G154" s="16" t="n">
        <f aca="false">Inputs!$G$21</f>
        <v>55</v>
      </c>
      <c r="H154" s="16" t="n">
        <f aca="false">Inputs!$H$21</f>
        <v>54.4</v>
      </c>
      <c r="I154" s="16" t="n">
        <f aca="false">Inputs!$I$21</f>
        <v>53.8</v>
      </c>
    </row>
    <row r="155" customFormat="false" ht="15" hidden="false" customHeight="false" outlineLevel="0" collapsed="false">
      <c r="B155" s="26" t="s">
        <v>232</v>
      </c>
      <c r="C155" s="20" t="s">
        <v>61</v>
      </c>
      <c r="D155" s="28" t="n">
        <f aca="false">D153/D154</f>
        <v>2.38551403508772</v>
      </c>
      <c r="E155" s="28" t="n">
        <f aca="false">E153/E154</f>
        <v>2.70546269982238</v>
      </c>
      <c r="F155" s="28" t="n">
        <f aca="false">F153/F154</f>
        <v>3.12431654676259</v>
      </c>
      <c r="G155" s="28" t="n">
        <f aca="false">G153/G154</f>
        <v>3.719630656</v>
      </c>
      <c r="H155" s="28" t="n">
        <f aca="false">H153/H154</f>
        <v>4.59376847325324</v>
      </c>
      <c r="I155" s="28" t="n">
        <f aca="false">I153/I154</f>
        <v>5.35284946858209</v>
      </c>
    </row>
    <row r="156" customFormat="false" ht="15" hidden="false" customHeight="false" outlineLevel="0" collapsed="false">
      <c r="B156" s="18" t="s">
        <v>233</v>
      </c>
      <c r="C156" s="19"/>
      <c r="D156" s="19"/>
      <c r="E156" s="19"/>
      <c r="F156" s="19"/>
      <c r="G156" s="19"/>
      <c r="H156" s="19"/>
      <c r="I156" s="19"/>
    </row>
    <row r="157" customFormat="false" ht="15" hidden="false" customHeight="false" outlineLevel="0" collapsed="false">
      <c r="B157" s="9" t="s">
        <v>234</v>
      </c>
      <c r="C157" s="20" t="s">
        <v>61</v>
      </c>
      <c r="D157" s="17" t="n">
        <f aca="false">D146*(1-Inputs!$D$79)/D154</f>
        <v>0.513333333333333</v>
      </c>
      <c r="E157" s="17" t="n">
        <f aca="false">E146*(1-Inputs!$D$79)/E154</f>
        <v>0.519715808170515</v>
      </c>
      <c r="F157" s="17" t="n">
        <f aca="false">F146*(1-Inputs!$D$79)/F154</f>
        <v>0.526258992805755</v>
      </c>
      <c r="G157" s="17" t="n">
        <f aca="false">G146*(1-Inputs!$D$79)/G154</f>
        <v>0.532</v>
      </c>
      <c r="H157" s="17" t="n">
        <f aca="false">H146*(1-Inputs!$D$79)/H154</f>
        <v>0.509558823529412</v>
      </c>
      <c r="I157" s="17" t="n">
        <f aca="false">I146*(1-Inputs!$D$79)/I154</f>
        <v>0.486617100371747</v>
      </c>
    </row>
    <row r="158" customFormat="false" ht="15" hidden="false" customHeight="false" outlineLevel="0" collapsed="false">
      <c r="B158" s="9" t="s">
        <v>235</v>
      </c>
      <c r="C158" s="20" t="s">
        <v>61</v>
      </c>
      <c r="D158" s="17" t="n">
        <f aca="false">D147*(1-Inputs!$D$79)/D154</f>
        <v>0</v>
      </c>
      <c r="E158" s="17" t="n">
        <f aca="false">E147*(1-Inputs!$D$79)/E154</f>
        <v>0.205150976909414</v>
      </c>
      <c r="F158" s="17" t="n">
        <f aca="false">F147*(1-Inputs!$D$79)/F154</f>
        <v>0.304676258992806</v>
      </c>
      <c r="G158" s="17" t="n">
        <f aca="false">G147*(1-Inputs!$D$79)/G154</f>
        <v>0.168</v>
      </c>
      <c r="H158" s="17" t="n">
        <f aca="false">H147*(1-Inputs!$D$79)/H154</f>
        <v>0</v>
      </c>
      <c r="I158" s="17" t="n">
        <f aca="false">I147*(1-Inputs!$D$79)/I154</f>
        <v>0</v>
      </c>
    </row>
    <row r="159" customFormat="false" ht="15" hidden="false" customHeight="false" outlineLevel="0" collapsed="false">
      <c r="B159" s="9" t="s">
        <v>236</v>
      </c>
      <c r="C159" s="20" t="s">
        <v>78</v>
      </c>
      <c r="D159" s="15" t="n">
        <f aca="false">(D146+D147)*(1-Inputs!$D$79)</f>
        <v>29.26</v>
      </c>
      <c r="E159" s="15" t="n">
        <f aca="false">(E146+E147)*(1-Inputs!$D$79)</f>
        <v>40.81</v>
      </c>
      <c r="F159" s="15" t="n">
        <f aca="false">(F146+F147)*(1-Inputs!$D$79)</f>
        <v>46.2</v>
      </c>
      <c r="G159" s="15" t="n">
        <f aca="false">(G146+G147)*(1-Inputs!$D$79)</f>
        <v>38.5</v>
      </c>
      <c r="H159" s="15" t="n">
        <f aca="false">(H146+H147)*(1-Inputs!$D$79)</f>
        <v>27.72</v>
      </c>
      <c r="I159" s="15" t="n">
        <f aca="false">(I146+I147)*(1-Inputs!$D$79)</f>
        <v>26.18</v>
      </c>
    </row>
    <row r="160" customFormat="false" ht="15" hidden="false" customHeight="false" outlineLevel="0" collapsed="false">
      <c r="B160" s="9" t="s">
        <v>237</v>
      </c>
      <c r="C160" s="20" t="s">
        <v>78</v>
      </c>
      <c r="D160" s="15" t="n">
        <f aca="false">D153+D159</f>
        <v>165.2343</v>
      </c>
      <c r="E160" s="15" t="n">
        <f aca="false">E153+E159</f>
        <v>193.12755</v>
      </c>
      <c r="F160" s="15" t="n">
        <f aca="false">F153+F159</f>
        <v>219.912</v>
      </c>
      <c r="G160" s="15" t="n">
        <f aca="false">G153+G159</f>
        <v>243.07968608</v>
      </c>
      <c r="H160" s="15" t="n">
        <f aca="false">H153+H159</f>
        <v>277.621004944976</v>
      </c>
      <c r="I160" s="15" t="n">
        <f aca="false">I153+I159</f>
        <v>314.163301409716</v>
      </c>
    </row>
    <row r="161" customFormat="false" ht="15" hidden="false" customHeight="false" outlineLevel="0" collapsed="false">
      <c r="B161" s="26" t="s">
        <v>238</v>
      </c>
      <c r="C161" s="20" t="s">
        <v>61</v>
      </c>
      <c r="D161" s="28" t="n">
        <f aca="false">D160/D154</f>
        <v>2.89884736842105</v>
      </c>
      <c r="E161" s="28" t="n">
        <f aca="false">E160/E154</f>
        <v>3.43032948490231</v>
      </c>
      <c r="F161" s="28" t="n">
        <f aca="false">F160/F154</f>
        <v>3.95525179856115</v>
      </c>
      <c r="G161" s="28" t="n">
        <f aca="false">G160/G154</f>
        <v>4.419630656</v>
      </c>
      <c r="H161" s="28" t="n">
        <f aca="false">H160/H154</f>
        <v>5.10332729678265</v>
      </c>
      <c r="I161" s="28" t="n">
        <f aca="false">I160/I154</f>
        <v>5.83946656895384</v>
      </c>
    </row>
    <row r="162" customFormat="false" ht="15" hidden="false" customHeight="false" outlineLevel="0" collapsed="false">
      <c r="B162" s="9" t="s">
        <v>239</v>
      </c>
      <c r="C162" s="20" t="s">
        <v>206</v>
      </c>
      <c r="D162" s="9"/>
      <c r="E162" s="14" t="n">
        <f aca="false">E161/D161-1</f>
        <v>0.183342566521791</v>
      </c>
      <c r="F162" s="14" t="n">
        <f aca="false">F161/E161-1</f>
        <v>0.153023875977264</v>
      </c>
      <c r="G162" s="14" t="n">
        <f aca="false">G161/F161-1</f>
        <v>0.117408165418895</v>
      </c>
      <c r="H162" s="14" t="n">
        <f aca="false">H161/G161-1</f>
        <v>0.154695424572294</v>
      </c>
      <c r="I162" s="14" t="n">
        <f aca="false">I161/H161-1</f>
        <v>0.144246925458864</v>
      </c>
    </row>
    <row r="163" customFormat="false" ht="15" hidden="false" customHeight="false" outlineLevel="0" collapsed="false">
      <c r="B163" s="9" t="s">
        <v>240</v>
      </c>
      <c r="C163" s="20" t="s">
        <v>206</v>
      </c>
      <c r="D163" s="14" t="n">
        <f aca="false">D161/D155-1</f>
        <v>0.215187722974121</v>
      </c>
      <c r="E163" s="14" t="n">
        <f aca="false">E161/E155-1</f>
        <v>0.267927103606906</v>
      </c>
      <c r="F163" s="14" t="n">
        <f aca="false">F161/F155-1</f>
        <v>0.265957446808511</v>
      </c>
      <c r="G163" s="14" t="n">
        <f aca="false">G161/G155-1</f>
        <v>0.188190727719392</v>
      </c>
      <c r="H163" s="14" t="n">
        <f aca="false">H161/H155-1</f>
        <v>0.110923923679713</v>
      </c>
      <c r="I163" s="14" t="n">
        <f aca="false">I161/I155-1</f>
        <v>0.0909080487370115</v>
      </c>
    </row>
    <row r="164" customFormat="false" ht="15" hidden="false" customHeight="false" outlineLevel="0" collapsed="false">
      <c r="B164" s="18" t="s">
        <v>241</v>
      </c>
      <c r="C164" s="19"/>
      <c r="D164" s="19"/>
      <c r="E164" s="19"/>
      <c r="F164" s="19"/>
      <c r="G164" s="19"/>
      <c r="H164" s="19"/>
      <c r="I164" s="19"/>
    </row>
    <row r="165" customFormat="false" ht="15" hidden="false" customHeight="false" outlineLevel="0" collapsed="false">
      <c r="B165" s="9" t="s">
        <v>242</v>
      </c>
      <c r="C165" s="20" t="s">
        <v>78</v>
      </c>
      <c r="D165" s="15" t="n">
        <f aca="false">D131*Inputs!$D$81</f>
        <v>62.4</v>
      </c>
      <c r="E165" s="15" t="n">
        <f aca="false">E131*Inputs!$D$81</f>
        <v>66.56</v>
      </c>
      <c r="F165" s="15" t="n">
        <f aca="false">F131*Inputs!$D$81</f>
        <v>70.4</v>
      </c>
      <c r="G165" s="15" t="n">
        <f aca="false">G131*Inputs!$D$81</f>
        <v>74.804736</v>
      </c>
      <c r="H165" s="15" t="n">
        <f aca="false">H131*Inputs!$D$81</f>
        <v>79.8910985216</v>
      </c>
      <c r="I165" s="15" t="n">
        <f aca="false">I131*Inputs!$D$81</f>
        <v>85.2956687753754</v>
      </c>
    </row>
    <row r="166" customFormat="false" ht="15" hidden="false" customHeight="false" outlineLevel="0" collapsed="false">
      <c r="B166" s="9" t="s">
        <v>243</v>
      </c>
      <c r="C166" s="20" t="s">
        <v>78</v>
      </c>
      <c r="D166" s="15" t="n">
        <f aca="false">(D131-(Inputs!$C$5+Inputs!$C$6+Inputs!$C$7))*Inputs!$D$82</f>
        <v>24.3</v>
      </c>
      <c r="E166" s="15" t="n">
        <f aca="false">(E131-D131)*Inputs!$D$82</f>
        <v>23.4</v>
      </c>
      <c r="F166" s="15" t="n">
        <f aca="false">(F131-E131)*Inputs!$D$82</f>
        <v>21.6</v>
      </c>
      <c r="G166" s="15" t="n">
        <f aca="false">(G131-F131)*Inputs!$D$82</f>
        <v>24.7766399999999</v>
      </c>
      <c r="H166" s="15" t="n">
        <f aca="false">(H131-G131)*Inputs!$D$82</f>
        <v>28.610789184</v>
      </c>
      <c r="I166" s="15" t="n">
        <f aca="false">(I131-H131)*Inputs!$D$82</f>
        <v>30.4007076774864</v>
      </c>
    </row>
    <row r="167" customFormat="false" ht="15" hidden="false" customHeight="false" outlineLevel="0" collapsed="false">
      <c r="B167" s="26" t="s">
        <v>244</v>
      </c>
      <c r="C167" s="20" t="s">
        <v>78</v>
      </c>
      <c r="D167" s="27" t="n">
        <f aca="false">D153+D144+D146-D165-D166</f>
        <v>141.8743</v>
      </c>
      <c r="E167" s="27" t="n">
        <f aca="false">E153+E144+E146-E165-E166</f>
        <v>158.59755</v>
      </c>
      <c r="F167" s="27" t="n">
        <f aca="false">F153+F144+F146-F165-F166</f>
        <v>181.312</v>
      </c>
      <c r="G167" s="27" t="n">
        <f aca="false">G153+G144+G146-G165-G166</f>
        <v>208.45245408</v>
      </c>
      <c r="H167" s="27" t="n">
        <f aca="false">H153+H144+H146-H165-H166</f>
        <v>247.303828445776</v>
      </c>
      <c r="I167" s="27" t="n">
        <f aca="false">I153+I144+I146-I165-I166</f>
        <v>280.920635135308</v>
      </c>
    </row>
    <row r="168" customFormat="false" ht="15" hidden="false" customHeight="false" outlineLevel="0" collapsed="false">
      <c r="B168" s="9" t="s">
        <v>245</v>
      </c>
      <c r="C168" s="20" t="s">
        <v>206</v>
      </c>
      <c r="D168" s="29" t="n">
        <f aca="false">D167/D160</f>
        <v>0.85862499493144</v>
      </c>
      <c r="E168" s="29" t="n">
        <f aca="false">E167/E160</f>
        <v>0.821206244267066</v>
      </c>
      <c r="F168" s="29" t="n">
        <f aca="false">F167/F160</f>
        <v>0.824475244643312</v>
      </c>
      <c r="G168" s="29" t="n">
        <f aca="false">G167/G160</f>
        <v>0.857547816691668</v>
      </c>
      <c r="H168" s="29" t="n">
        <f aca="false">H167/H160</f>
        <v>0.890796532109634</v>
      </c>
      <c r="I168" s="29" t="n">
        <f aca="false">I167/I160</f>
        <v>0.894186666217087</v>
      </c>
    </row>
    <row r="169" customFormat="false" ht="15" hidden="false" customHeight="false" outlineLevel="0" collapsed="false">
      <c r="B169" s="9" t="s">
        <v>246</v>
      </c>
      <c r="C169" s="20" t="s">
        <v>61</v>
      </c>
      <c r="D169" s="17" t="n">
        <f aca="false">D167/D154</f>
        <v>2.48902280701754</v>
      </c>
      <c r="E169" s="17" t="n">
        <f aca="false">E167/E154</f>
        <v>2.81700799289521</v>
      </c>
      <c r="F169" s="17" t="n">
        <f aca="false">F167/F154</f>
        <v>3.2610071942446</v>
      </c>
      <c r="G169" s="17" t="n">
        <f aca="false">G167/G154</f>
        <v>3.79004461963636</v>
      </c>
      <c r="H169" s="17" t="n">
        <f aca="false">H167/H154</f>
        <v>4.54602625819441</v>
      </c>
      <c r="I169" s="17" t="n">
        <f aca="false">I167/I154</f>
        <v>5.22157314377896</v>
      </c>
    </row>
    <row r="170" customFormat="false" ht="15" hidden="false" customHeight="false" outlineLevel="0" collapsed="false">
      <c r="B170" s="9" t="s">
        <v>247</v>
      </c>
      <c r="C170" s="20" t="s">
        <v>61</v>
      </c>
      <c r="D170" s="17" t="n">
        <f aca="false">Inputs!$D$22</f>
        <v>0.9</v>
      </c>
      <c r="E170" s="17" t="n">
        <f aca="false">Inputs!$E$22</f>
        <v>0.96</v>
      </c>
      <c r="F170" s="17" t="n">
        <f aca="false">Inputs!$F$22</f>
        <v>1.02</v>
      </c>
      <c r="G170" s="17" t="n">
        <f aca="false">Inputs!$G$22</f>
        <v>1.1</v>
      </c>
      <c r="H170" s="17" t="n">
        <f aca="false">Inputs!$H$22</f>
        <v>1.2</v>
      </c>
      <c r="I170" s="17" t="n">
        <f aca="false">Inputs!$I$22</f>
        <v>1.3</v>
      </c>
    </row>
    <row r="171" customFormat="false" ht="15" hidden="false" customHeight="false" outlineLevel="0" collapsed="false">
      <c r="B171" s="9" t="s">
        <v>248</v>
      </c>
      <c r="C171" s="20" t="s">
        <v>78</v>
      </c>
      <c r="D171" s="15" t="n">
        <f aca="false">D170*D154</f>
        <v>51.3</v>
      </c>
      <c r="E171" s="15" t="n">
        <f aca="false">E170*E154</f>
        <v>54.048</v>
      </c>
      <c r="F171" s="15" t="n">
        <f aca="false">F170*F154</f>
        <v>56.712</v>
      </c>
      <c r="G171" s="15" t="n">
        <f aca="false">G170*G154</f>
        <v>60.5</v>
      </c>
      <c r="H171" s="15" t="n">
        <f aca="false">H170*H154</f>
        <v>65.28</v>
      </c>
      <c r="I171" s="15" t="n">
        <f aca="false">I170*I154</f>
        <v>69.94</v>
      </c>
    </row>
    <row r="172" customFormat="false" ht="15" hidden="false" customHeight="false" outlineLevel="0" collapsed="false">
      <c r="B172" s="9" t="s">
        <v>48</v>
      </c>
      <c r="C172" s="20" t="s">
        <v>78</v>
      </c>
      <c r="D172" s="9"/>
      <c r="E172" s="9"/>
      <c r="F172" s="9"/>
      <c r="G172" s="15" t="n">
        <f aca="false">Inputs!$G$24</f>
        <v>55</v>
      </c>
      <c r="H172" s="15" t="n">
        <f aca="false">Inputs!$H$24</f>
        <v>55</v>
      </c>
      <c r="I172" s="15" t="n">
        <f aca="false">Inputs!$I$24</f>
        <v>55</v>
      </c>
    </row>
    <row r="173" customFormat="false" ht="15" hidden="false" customHeight="false" outlineLevel="0" collapsed="false">
      <c r="B173" s="26" t="s">
        <v>249</v>
      </c>
      <c r="C173" s="20" t="s">
        <v>78</v>
      </c>
      <c r="D173" s="27" t="n">
        <f aca="false">Inputs!$D$23</f>
        <v>1210</v>
      </c>
      <c r="E173" s="27" t="n">
        <f aca="false">Inputs!$E$23</f>
        <v>1160</v>
      </c>
      <c r="F173" s="27" t="n">
        <f aca="false">Inputs!$F$23</f>
        <v>1100</v>
      </c>
      <c r="G173" s="27" t="n">
        <f aca="false">F173-G167+G171+G172</f>
        <v>1007.04754592</v>
      </c>
      <c r="H173" s="27" t="n">
        <f aca="false">G173-H167+H171+H172</f>
        <v>880.023717474224</v>
      </c>
      <c r="I173" s="27" t="n">
        <f aca="false">H173-I167+I171+I172</f>
        <v>724.043082338916</v>
      </c>
    </row>
    <row r="174" customFormat="false" ht="15" hidden="false" customHeight="false" outlineLevel="0" collapsed="false">
      <c r="B174" s="9" t="s">
        <v>250</v>
      </c>
      <c r="C174" s="20" t="s">
        <v>251</v>
      </c>
      <c r="D174" s="30" t="n">
        <f aca="false">D173/D145</f>
        <v>3.69815703413918</v>
      </c>
      <c r="E174" s="30" t="n">
        <f aca="false">E173/E145</f>
        <v>3.1863317355894</v>
      </c>
      <c r="F174" s="30" t="n">
        <f aca="false">F173/F145</f>
        <v>2.75551102204409</v>
      </c>
      <c r="G174" s="30" t="n">
        <f aca="false">G173/G145</f>
        <v>2.30898981315372</v>
      </c>
      <c r="H174" s="30" t="n">
        <f aca="false">H173/H145</f>
        <v>1.83031754180319</v>
      </c>
      <c r="I174" s="30" t="n">
        <f aca="false">I173/I145</f>
        <v>1.37483708939635</v>
      </c>
    </row>
    <row r="175" customFormat="false" ht="15" hidden="false" customHeight="false" outlineLevel="0" collapsed="false">
      <c r="B175" s="9" t="s">
        <v>252</v>
      </c>
      <c r="C175" s="20" t="s">
        <v>78</v>
      </c>
      <c r="D175" s="15" t="n">
        <f aca="false">D148*(1-Inputs!$D$79)+D144+D146-D165-D166</f>
        <v>186.5343</v>
      </c>
      <c r="E175" s="15" t="n">
        <f aca="false">E148*(1-Inputs!$D$79)+E144+E146-E165-E166</f>
        <v>200.94755</v>
      </c>
      <c r="F175" s="15" t="n">
        <f aca="false">F148*(1-Inputs!$D$79)+F144+F146-F165-F166</f>
        <v>221.352</v>
      </c>
      <c r="G175" s="15" t="n">
        <f aca="false">G148*(1-Inputs!$D$79)+G144+G146-G165-G166</f>
        <v>250.80245408</v>
      </c>
      <c r="H175" s="15" t="n">
        <f aca="false">H148*(1-Inputs!$D$79)+H144+H146-H165-H166</f>
        <v>286.075158963696</v>
      </c>
      <c r="I175" s="15" t="n">
        <f aca="false">I148*(1-Inputs!$D$79)+I144+I146-I165-I166</f>
        <v>314.801548258066</v>
      </c>
    </row>
    <row r="176" customFormat="false" ht="15" hidden="false" customHeight="false" outlineLevel="0" collapsed="false">
      <c r="B176" s="18" t="s">
        <v>253</v>
      </c>
      <c r="C176" s="19"/>
      <c r="D176" s="19"/>
      <c r="E176" s="19"/>
      <c r="F176" s="19"/>
      <c r="G176" s="19"/>
      <c r="H176" s="19"/>
      <c r="I176" s="19"/>
    </row>
    <row r="177" customFormat="false" ht="15" hidden="false" customHeight="false" outlineLevel="0" collapsed="false">
      <c r="B177" s="9" t="s">
        <v>254</v>
      </c>
      <c r="C177" s="20" t="s">
        <v>206</v>
      </c>
      <c r="D177" s="9"/>
      <c r="E177" s="14" t="n">
        <f aca="false">(E135-D135)/(E122-D122)</f>
        <v>0.241555555555556</v>
      </c>
      <c r="F177" s="14" t="n">
        <f aca="false">(F135-E135)/(F122-E122)</f>
        <v>0.254</v>
      </c>
      <c r="G177" s="14" t="n">
        <f aca="false">(G135-F135)/(G122-F122)</f>
        <v>0.175956043956044</v>
      </c>
      <c r="H177" s="14" t="n">
        <f aca="false">(H135-G135)/(H122-G122)</f>
        <v>0.21505138339921</v>
      </c>
      <c r="I177" s="14" t="n">
        <f aca="false">(I135-H135)/(I122-H122)</f>
        <v>0.21181328545781</v>
      </c>
    </row>
    <row r="178" customFormat="false" ht="15" hidden="false" customHeight="false" outlineLevel="0" collapsed="false">
      <c r="B178" s="9" t="s">
        <v>255</v>
      </c>
      <c r="C178" s="20" t="s">
        <v>206</v>
      </c>
      <c r="D178" s="9"/>
      <c r="E178" s="14" t="n">
        <f aca="false">(E137-D137)/(E126-D126)</f>
        <v>0.280090909090909</v>
      </c>
      <c r="F178" s="14" t="n">
        <f aca="false">(F137-E137)/(F126-E126)</f>
        <v>0.284454545454545</v>
      </c>
      <c r="G178" s="14" t="n">
        <f aca="false">(G137-F137)/(G126-F126)</f>
        <v>0.310485549132948</v>
      </c>
      <c r="H178" s="14" t="n">
        <f aca="false">(H137-G137)/(H126-G126)</f>
        <v>0.301398362892224</v>
      </c>
      <c r="I178" s="14" t="n">
        <f aca="false">(I137-H137)/(I126-H126)</f>
        <v>0.291576354679803</v>
      </c>
    </row>
    <row r="179" customFormat="false" ht="15" hidden="false" customHeight="false" outlineLevel="0" collapsed="false">
      <c r="B179" s="9" t="s">
        <v>256</v>
      </c>
      <c r="C179" s="20" t="s">
        <v>206</v>
      </c>
      <c r="D179" s="9"/>
      <c r="E179" s="14" t="n">
        <f aca="false">(E139-D139)/(E130-D130)</f>
        <v>0.298333333333333</v>
      </c>
      <c r="F179" s="14" t="n">
        <f aca="false">(F139-E139)/(F130-E130)</f>
        <v>0.308333333333333</v>
      </c>
      <c r="G179" s="14" t="n">
        <f aca="false">(G139-F139)/(G130-F130)</f>
        <v>0.285134831460674</v>
      </c>
      <c r="H179" s="14" t="n">
        <f aca="false">(H139-G139)/(H130-G130)</f>
        <v>0.285292730844794</v>
      </c>
      <c r="I179" s="14" t="n">
        <f aca="false">(I139-H139)/(I130-H130)</f>
        <v>0.274195153896529</v>
      </c>
    </row>
    <row r="180" customFormat="false" ht="15" hidden="false" customHeight="false" outlineLevel="0" collapsed="false">
      <c r="B180" s="9" t="s">
        <v>257</v>
      </c>
      <c r="C180" s="20" t="s">
        <v>206</v>
      </c>
      <c r="D180" s="9"/>
      <c r="E180" s="14" t="n">
        <f aca="false">(E142-D142)/(E131-D131)</f>
        <v>0.255576923076923</v>
      </c>
      <c r="F180" s="14" t="n">
        <f aca="false">(F142-E142)/(F131-E131)</f>
        <v>0.264875</v>
      </c>
      <c r="G180" s="14" t="n">
        <f aca="false">(G142-F142)/(G131-F131)</f>
        <v>0.240380564919215</v>
      </c>
      <c r="H180" s="14" t="n">
        <f aca="false">(H142-G142)/(H131-G131)</f>
        <v>0.252982253901326</v>
      </c>
      <c r="I180" s="14" t="n">
        <f aca="false">(I142-H142)/(I131-H131)</f>
        <v>0.243387115859775</v>
      </c>
    </row>
    <row r="182" customFormat="false" ht="15" hidden="false" customHeight="false" outlineLevel="0" collapsed="false">
      <c r="B182" s="7" t="s">
        <v>417</v>
      </c>
      <c r="C182" s="8"/>
      <c r="D182" s="8" t="s">
        <v>23</v>
      </c>
      <c r="E182" s="8" t="s">
        <v>24</v>
      </c>
      <c r="F182" s="8" t="s">
        <v>25</v>
      </c>
      <c r="G182" s="8" t="s">
        <v>26</v>
      </c>
      <c r="H182" s="8" t="s">
        <v>27</v>
      </c>
      <c r="I182" s="8" t="s">
        <v>28</v>
      </c>
    </row>
    <row r="183" customFormat="false" ht="15" hidden="false" customHeight="false" outlineLevel="0" collapsed="false">
      <c r="B183" s="18" t="s">
        <v>205</v>
      </c>
      <c r="C183" s="19"/>
      <c r="D183" s="19"/>
      <c r="E183" s="19"/>
      <c r="F183" s="19"/>
      <c r="G183" s="19"/>
      <c r="H183" s="19"/>
      <c r="I183" s="19"/>
    </row>
    <row r="184" customFormat="false" ht="15" hidden="false" customHeight="false" outlineLevel="0" collapsed="false">
      <c r="B184" s="9" t="s">
        <v>32</v>
      </c>
      <c r="C184" s="20" t="s">
        <v>206</v>
      </c>
      <c r="D184" s="14" t="n">
        <f aca="false">(1+D186)/(1+D185)-1</f>
        <v>0.0103708741165327</v>
      </c>
      <c r="E184" s="14" t="n">
        <f aca="false">(1+E186)/(1+E185)-1</f>
        <v>0.0128827483196416</v>
      </c>
      <c r="F184" s="14" t="n">
        <f aca="false">(1+F186)/(1+F185)-1</f>
        <v>0.00708103855232101</v>
      </c>
      <c r="G184" s="14" t="n">
        <f aca="false">Inputs!$G$8</f>
        <v>0.01</v>
      </c>
      <c r="H184" s="14" t="n">
        <f aca="false">Inputs!$H$8</f>
        <v>0.02</v>
      </c>
      <c r="I184" s="14" t="n">
        <f aca="false">Inputs!$I$8</f>
        <v>0.025</v>
      </c>
    </row>
    <row r="185" customFormat="false" ht="15" hidden="false" customHeight="false" outlineLevel="0" collapsed="false">
      <c r="B185" s="9" t="s">
        <v>35</v>
      </c>
      <c r="C185" s="20" t="s">
        <v>206</v>
      </c>
      <c r="D185" s="14" t="n">
        <f aca="false">Inputs!$D$11</f>
        <v>0.045</v>
      </c>
      <c r="E185" s="14" t="n">
        <f aca="false">Inputs!$E$11</f>
        <v>0.03</v>
      </c>
      <c r="F185" s="14" t="n">
        <f aca="false">Inputs!$F$11</f>
        <v>0.025</v>
      </c>
      <c r="G185" s="14" t="n">
        <f aca="false">Inputs!$G$11</f>
        <v>0.025</v>
      </c>
      <c r="H185" s="14" t="n">
        <f aca="false">Inputs!$H$11</f>
        <v>0.02</v>
      </c>
      <c r="I185" s="14" t="n">
        <f aca="false">Inputs!$I$11</f>
        <v>0.02</v>
      </c>
    </row>
    <row r="186" customFormat="false" ht="15" hidden="false" customHeight="false" outlineLevel="0" collapsed="false">
      <c r="B186" s="9" t="s">
        <v>207</v>
      </c>
      <c r="C186" s="20" t="s">
        <v>206</v>
      </c>
      <c r="D186" s="14" t="n">
        <f aca="false">D187/Inputs!$C$5-1</f>
        <v>0.0558375634517767</v>
      </c>
      <c r="E186" s="14" t="n">
        <f aca="false">E187/D187-1</f>
        <v>0.0432692307692308</v>
      </c>
      <c r="F186" s="14" t="n">
        <f aca="false">F187/E187-1</f>
        <v>0.032258064516129</v>
      </c>
      <c r="G186" s="14" t="n">
        <f aca="false">(1+G184)*(1+G185)-1</f>
        <v>0.03525</v>
      </c>
      <c r="H186" s="14" t="n">
        <f aca="false">(1+H184)*(1+H185)-1</f>
        <v>0.0404</v>
      </c>
      <c r="I186" s="14" t="n">
        <f aca="false">(1+I184)*(1+I185)-1</f>
        <v>0.0454999999999999</v>
      </c>
    </row>
    <row r="187" customFormat="false" ht="15" hidden="false" customHeight="false" outlineLevel="0" collapsed="false">
      <c r="B187" s="9" t="s">
        <v>208</v>
      </c>
      <c r="C187" s="20" t="s">
        <v>78</v>
      </c>
      <c r="D187" s="15" t="n">
        <f aca="false">Inputs!$D$5</f>
        <v>1040</v>
      </c>
      <c r="E187" s="15" t="n">
        <f aca="false">Inputs!$E$5</f>
        <v>1085</v>
      </c>
      <c r="F187" s="15" t="n">
        <f aca="false">Inputs!$F$5</f>
        <v>1120</v>
      </c>
      <c r="G187" s="15" t="n">
        <f aca="false">F187*(1+G186)</f>
        <v>1159.48</v>
      </c>
      <c r="H187" s="15" t="n">
        <f aca="false">G187*(1+H186)</f>
        <v>1206.322992</v>
      </c>
      <c r="I187" s="15" t="n">
        <f aca="false">H187*(1+I186)</f>
        <v>1261.210688136</v>
      </c>
    </row>
    <row r="188" customFormat="false" ht="15" hidden="false" customHeight="false" outlineLevel="0" collapsed="false">
      <c r="B188" s="9" t="s">
        <v>33</v>
      </c>
      <c r="C188" s="20" t="s">
        <v>206</v>
      </c>
      <c r="D188" s="14" t="n">
        <f aca="false">(1+D190)/(1+D189)-1</f>
        <v>0.0661409719987125</v>
      </c>
      <c r="E188" s="14" t="n">
        <f aca="false">(1+E190)/(1+E189)-1</f>
        <v>0.0716248397142334</v>
      </c>
      <c r="F188" s="14" t="n">
        <f aca="false">(1+F190)/(1+F189)-1</f>
        <v>0.0673337502605798</v>
      </c>
      <c r="G188" s="14" t="n">
        <f aca="false">Inputs!$G$9</f>
        <v>0.06</v>
      </c>
      <c r="H188" s="14" t="n">
        <f aca="false">Inputs!$H$9</f>
        <v>0.065</v>
      </c>
      <c r="I188" s="14" t="n">
        <f aca="false">Inputs!$I$9</f>
        <v>0.06</v>
      </c>
    </row>
    <row r="189" customFormat="false" ht="15" hidden="false" customHeight="false" outlineLevel="0" collapsed="false">
      <c r="B189" s="9" t="s">
        <v>36</v>
      </c>
      <c r="C189" s="20" t="s">
        <v>206</v>
      </c>
      <c r="D189" s="14" t="n">
        <f aca="false">Inputs!$D$12</f>
        <v>0.04</v>
      </c>
      <c r="E189" s="14" t="n">
        <f aca="false">Inputs!$E$12</f>
        <v>0.03</v>
      </c>
      <c r="F189" s="14" t="n">
        <f aca="false">Inputs!$F$12</f>
        <v>0.025</v>
      </c>
      <c r="G189" s="14" t="n">
        <f aca="false">Inputs!$G$12</f>
        <v>0.025</v>
      </c>
      <c r="H189" s="14" t="n">
        <f aca="false">Inputs!$H$12</f>
        <v>0.025</v>
      </c>
      <c r="I189" s="14" t="n">
        <f aca="false">Inputs!$I$12</f>
        <v>0.02</v>
      </c>
    </row>
    <row r="190" customFormat="false" ht="15" hidden="false" customHeight="false" outlineLevel="0" collapsed="false">
      <c r="B190" s="9" t="s">
        <v>209</v>
      </c>
      <c r="C190" s="20" t="s">
        <v>206</v>
      </c>
      <c r="D190" s="14" t="n">
        <f aca="false">D191/Inputs!$C$6-1</f>
        <v>0.108786610878661</v>
      </c>
      <c r="E190" s="14" t="n">
        <f aca="false">E191/D191-1</f>
        <v>0.10377358490566</v>
      </c>
      <c r="F190" s="14" t="n">
        <f aca="false">F191/E191-1</f>
        <v>0.0940170940170941</v>
      </c>
      <c r="G190" s="14" t="n">
        <f aca="false">(1+G188)*(1+G189)-1</f>
        <v>0.0865</v>
      </c>
      <c r="H190" s="14" t="n">
        <f aca="false">(1+H188)*(1+H189)-1</f>
        <v>0.0916249999999999</v>
      </c>
      <c r="I190" s="14" t="n">
        <f aca="false">(1+I188)*(1+I189)-1</f>
        <v>0.0812000000000002</v>
      </c>
    </row>
    <row r="191" customFormat="false" ht="15" hidden="false" customHeight="false" outlineLevel="0" collapsed="false">
      <c r="B191" s="9" t="s">
        <v>210</v>
      </c>
      <c r="C191" s="20" t="s">
        <v>78</v>
      </c>
      <c r="D191" s="15" t="n">
        <f aca="false">Inputs!$D$6</f>
        <v>530</v>
      </c>
      <c r="E191" s="15" t="n">
        <f aca="false">Inputs!$E$6</f>
        <v>585</v>
      </c>
      <c r="F191" s="15" t="n">
        <f aca="false">Inputs!$F$6</f>
        <v>640</v>
      </c>
      <c r="G191" s="15" t="n">
        <f aca="false">F191*(1+G190)</f>
        <v>695.36</v>
      </c>
      <c r="H191" s="15" t="n">
        <f aca="false">G191*(1+H190)</f>
        <v>759.07236</v>
      </c>
      <c r="I191" s="15" t="n">
        <f aca="false">H191*(1+I190)</f>
        <v>820.709035632</v>
      </c>
    </row>
    <row r="192" customFormat="false" ht="15" hidden="false" customHeight="false" outlineLevel="0" collapsed="false">
      <c r="B192" s="9" t="s">
        <v>34</v>
      </c>
      <c r="C192" s="20" t="s">
        <v>206</v>
      </c>
      <c r="D192" s="14" t="n">
        <f aca="false">(1+D194)/(1+D193)-1</f>
        <v>0.0281385281385282</v>
      </c>
      <c r="E192" s="14" t="n">
        <f aca="false">(1+E194)/(1+E193)-1</f>
        <v>0.0424612255275871</v>
      </c>
      <c r="F192" s="14" t="n">
        <f aca="false">(1+F194)/(1+F193)-1</f>
        <v>0.0419133317546767</v>
      </c>
      <c r="G192" s="14" t="n">
        <f aca="false">(Inputs!$G$10+$D$4)</f>
        <v>0.05</v>
      </c>
      <c r="H192" s="14" t="n">
        <f aca="false">(Inputs!$H$10+$D$4)</f>
        <v>0.055</v>
      </c>
      <c r="I192" s="14" t="n">
        <f aca="false">(Inputs!$I$10+$D$4)</f>
        <v>0.055</v>
      </c>
    </row>
    <row r="193" customFormat="false" ht="15" hidden="false" customHeight="false" outlineLevel="0" collapsed="false">
      <c r="B193" s="9" t="s">
        <v>37</v>
      </c>
      <c r="C193" s="20" t="s">
        <v>206</v>
      </c>
      <c r="D193" s="14" t="n">
        <f aca="false">Inputs!$D$13</f>
        <v>0.05</v>
      </c>
      <c r="E193" s="14" t="n">
        <f aca="false">Inputs!$E$13</f>
        <v>0.035</v>
      </c>
      <c r="F193" s="14" t="n">
        <f aca="false">Inputs!$F$13</f>
        <v>0.03</v>
      </c>
      <c r="G193" s="14" t="n">
        <f aca="false">Inputs!$G$13</f>
        <v>0.03</v>
      </c>
      <c r="H193" s="14" t="n">
        <f aca="false">Inputs!$H$13</f>
        <v>0.03</v>
      </c>
      <c r="I193" s="14" t="n">
        <f aca="false">Inputs!$I$13</f>
        <v>0.03</v>
      </c>
    </row>
    <row r="194" customFormat="false" ht="15" hidden="false" customHeight="false" outlineLevel="0" collapsed="false">
      <c r="B194" s="9" t="s">
        <v>211</v>
      </c>
      <c r="C194" s="20" t="s">
        <v>206</v>
      </c>
      <c r="D194" s="14" t="n">
        <f aca="false">D195/Inputs!$C$7-1</f>
        <v>0.0795454545454546</v>
      </c>
      <c r="E194" s="14" t="n">
        <f aca="false">E195/D195-1</f>
        <v>0.0789473684210527</v>
      </c>
      <c r="F194" s="14" t="n">
        <f aca="false">F195/E195-1</f>
        <v>0.0731707317073171</v>
      </c>
      <c r="G194" s="14" t="n">
        <f aca="false">(1+G192)*(1+G193)-1</f>
        <v>0.0815000000000001</v>
      </c>
      <c r="H194" s="14" t="n">
        <f aca="false">(1+H192)*(1+H193)-1</f>
        <v>0.0866499999999999</v>
      </c>
      <c r="I194" s="14" t="n">
        <f aca="false">(1+I192)*(1+I193)-1</f>
        <v>0.0866499999999999</v>
      </c>
    </row>
    <row r="195" customFormat="false" ht="15" hidden="false" customHeight="false" outlineLevel="0" collapsed="false">
      <c r="B195" s="9" t="s">
        <v>212</v>
      </c>
      <c r="C195" s="20" t="s">
        <v>78</v>
      </c>
      <c r="D195" s="15" t="n">
        <f aca="false">Inputs!$D$7</f>
        <v>380</v>
      </c>
      <c r="E195" s="15" t="n">
        <f aca="false">Inputs!$E$7</f>
        <v>410</v>
      </c>
      <c r="F195" s="15" t="n">
        <f aca="false">Inputs!$F$7</f>
        <v>440</v>
      </c>
      <c r="G195" s="15" t="n">
        <f aca="false">F195*(1+G194)</f>
        <v>475.86</v>
      </c>
      <c r="H195" s="15" t="n">
        <f aca="false">G195*(1+H194)</f>
        <v>517.093269</v>
      </c>
      <c r="I195" s="15" t="n">
        <f aca="false">H195*(1+I194)</f>
        <v>561.89940075885</v>
      </c>
    </row>
    <row r="196" customFormat="false" ht="15" hidden="false" customHeight="false" outlineLevel="0" collapsed="false">
      <c r="B196" s="26" t="s">
        <v>213</v>
      </c>
      <c r="C196" s="20" t="s">
        <v>78</v>
      </c>
      <c r="D196" s="27" t="n">
        <f aca="false">D187+D191+D195</f>
        <v>1950</v>
      </c>
      <c r="E196" s="27" t="n">
        <f aca="false">E187+E191+E195</f>
        <v>2080</v>
      </c>
      <c r="F196" s="27" t="n">
        <f aca="false">F187+F191+F195</f>
        <v>2200</v>
      </c>
      <c r="G196" s="27" t="n">
        <f aca="false">G187+G191+G195</f>
        <v>2330.7</v>
      </c>
      <c r="H196" s="27" t="n">
        <f aca="false">H187+H191+H195</f>
        <v>2482.488621</v>
      </c>
      <c r="I196" s="27" t="n">
        <f aca="false">I187+I191+I195</f>
        <v>2643.81912452685</v>
      </c>
    </row>
    <row r="197" customFormat="false" ht="15" hidden="false" customHeight="false" outlineLevel="0" collapsed="false">
      <c r="B197" s="9" t="s">
        <v>214</v>
      </c>
      <c r="C197" s="20" t="s">
        <v>206</v>
      </c>
      <c r="D197" s="14" t="n">
        <f aca="false">D196/(Inputs!$C$5+Inputs!$C$6+Inputs!$C$7)-1</f>
        <v>0.0743801652892562</v>
      </c>
      <c r="E197" s="14" t="n">
        <f aca="false">E196/D196-1</f>
        <v>0.0666666666666667</v>
      </c>
      <c r="F197" s="14" t="n">
        <f aca="false">F196/E196-1</f>
        <v>0.0576923076923077</v>
      </c>
      <c r="G197" s="14" t="n">
        <f aca="false">G196/F196-1</f>
        <v>0.059409090909091</v>
      </c>
      <c r="H197" s="14" t="n">
        <f aca="false">H196/G196-1</f>
        <v>0.0651257652207491</v>
      </c>
      <c r="I197" s="14" t="n">
        <f aca="false">I196/H196-1</f>
        <v>0.0649874090709277</v>
      </c>
    </row>
    <row r="198" customFormat="false" ht="15" hidden="false" customHeight="false" outlineLevel="0" collapsed="false">
      <c r="B198" s="18" t="s">
        <v>215</v>
      </c>
      <c r="C198" s="19"/>
      <c r="D198" s="19"/>
      <c r="E198" s="19"/>
      <c r="F198" s="19"/>
      <c r="G198" s="19"/>
      <c r="H198" s="19"/>
      <c r="I198" s="19"/>
    </row>
    <row r="199" customFormat="false" ht="15" hidden="false" customHeight="false" outlineLevel="0" collapsed="false">
      <c r="B199" s="9" t="s">
        <v>38</v>
      </c>
      <c r="C199" s="20" t="s">
        <v>206</v>
      </c>
      <c r="D199" s="14" t="n">
        <f aca="false">Inputs!$D$14</f>
        <v>0.121</v>
      </c>
      <c r="E199" s="14" t="n">
        <f aca="false">Inputs!$E$14</f>
        <v>0.126</v>
      </c>
      <c r="F199" s="14" t="n">
        <f aca="false">Inputs!$F$14</f>
        <v>0.13</v>
      </c>
      <c r="G199" s="14" t="n">
        <f aca="false">Inputs!$G$14</f>
        <v>0.132</v>
      </c>
      <c r="H199" s="14" t="n">
        <f aca="false">Inputs!$H$14</f>
        <v>0.136</v>
      </c>
      <c r="I199" s="14" t="n">
        <f aca="false">Inputs!$I$14</f>
        <v>0.14</v>
      </c>
    </row>
    <row r="200" customFormat="false" ht="15" hidden="false" customHeight="false" outlineLevel="0" collapsed="false">
      <c r="B200" s="9" t="s">
        <v>216</v>
      </c>
      <c r="C200" s="20" t="s">
        <v>78</v>
      </c>
      <c r="D200" s="15" t="n">
        <f aca="false">D187*D199</f>
        <v>125.84</v>
      </c>
      <c r="E200" s="15" t="n">
        <f aca="false">E187*E199</f>
        <v>136.71</v>
      </c>
      <c r="F200" s="15" t="n">
        <f aca="false">F187*F199</f>
        <v>145.6</v>
      </c>
      <c r="G200" s="15" t="n">
        <f aca="false">G187*G199</f>
        <v>153.05136</v>
      </c>
      <c r="H200" s="15" t="n">
        <f aca="false">H187*H199</f>
        <v>164.059926912</v>
      </c>
      <c r="I200" s="15" t="n">
        <f aca="false">I187*I199</f>
        <v>176.56949633904</v>
      </c>
    </row>
    <row r="201" customFormat="false" ht="15" hidden="false" customHeight="false" outlineLevel="0" collapsed="false">
      <c r="B201" s="9" t="s">
        <v>39</v>
      </c>
      <c r="C201" s="20" t="s">
        <v>206</v>
      </c>
      <c r="D201" s="14" t="n">
        <f aca="false">Inputs!$D$15</f>
        <v>0.195</v>
      </c>
      <c r="E201" s="14" t="n">
        <f aca="false">Inputs!$E$15</f>
        <v>0.203</v>
      </c>
      <c r="F201" s="14" t="n">
        <f aca="false">Inputs!$F$15</f>
        <v>0.21</v>
      </c>
      <c r="G201" s="14" t="n">
        <f aca="false">Inputs!$G$15</f>
        <v>0.218</v>
      </c>
      <c r="H201" s="14" t="n">
        <f aca="false">Inputs!$H$15</f>
        <v>0.225</v>
      </c>
      <c r="I201" s="14" t="n">
        <f aca="false">Inputs!$I$15</f>
        <v>0.23</v>
      </c>
    </row>
    <row r="202" customFormat="false" ht="15" hidden="false" customHeight="false" outlineLevel="0" collapsed="false">
      <c r="B202" s="9" t="s">
        <v>217</v>
      </c>
      <c r="C202" s="20" t="s">
        <v>78</v>
      </c>
      <c r="D202" s="15" t="n">
        <f aca="false">D191*D201</f>
        <v>103.35</v>
      </c>
      <c r="E202" s="15" t="n">
        <f aca="false">E191*E201</f>
        <v>118.755</v>
      </c>
      <c r="F202" s="15" t="n">
        <f aca="false">F191*F201</f>
        <v>134.4</v>
      </c>
      <c r="G202" s="15" t="n">
        <f aca="false">G191*G201</f>
        <v>151.58848</v>
      </c>
      <c r="H202" s="15" t="n">
        <f aca="false">H191*H201</f>
        <v>170.791281</v>
      </c>
      <c r="I202" s="15" t="n">
        <f aca="false">I191*I201</f>
        <v>188.76307819536</v>
      </c>
    </row>
    <row r="203" customFormat="false" ht="15" hidden="false" customHeight="false" outlineLevel="0" collapsed="false">
      <c r="B203" s="9" t="s">
        <v>40</v>
      </c>
      <c r="C203" s="20" t="s">
        <v>206</v>
      </c>
      <c r="D203" s="14" t="n">
        <f aca="false">Inputs!$D$16</f>
        <v>0.23</v>
      </c>
      <c r="E203" s="14" t="n">
        <f aca="false">Inputs!$E$16</f>
        <v>0.235</v>
      </c>
      <c r="F203" s="14" t="n">
        <f aca="false">Inputs!$F$16</f>
        <v>0.24</v>
      </c>
      <c r="G203" s="14" t="n">
        <f aca="false">Inputs!$G$16</f>
        <v>0.243</v>
      </c>
      <c r="H203" s="14" t="n">
        <f aca="false">Inputs!$H$16</f>
        <v>0.246</v>
      </c>
      <c r="I203" s="14" t="n">
        <f aca="false">Inputs!$I$16</f>
        <v>0.248</v>
      </c>
    </row>
    <row r="204" customFormat="false" ht="15" hidden="false" customHeight="false" outlineLevel="0" collapsed="false">
      <c r="B204" s="9" t="s">
        <v>218</v>
      </c>
      <c r="C204" s="20" t="s">
        <v>78</v>
      </c>
      <c r="D204" s="15" t="n">
        <f aca="false">D195*D203</f>
        <v>87.4</v>
      </c>
      <c r="E204" s="15" t="n">
        <f aca="false">E195*E203</f>
        <v>96.35</v>
      </c>
      <c r="F204" s="15" t="n">
        <f aca="false">F195*F203</f>
        <v>105.6</v>
      </c>
      <c r="G204" s="15" t="n">
        <f aca="false">G195*G203</f>
        <v>115.63398</v>
      </c>
      <c r="H204" s="15" t="n">
        <f aca="false">H195*H203</f>
        <v>127.204944174</v>
      </c>
      <c r="I204" s="15" t="n">
        <f aca="false">I195*I203</f>
        <v>139.351051388195</v>
      </c>
    </row>
    <row r="205" customFormat="false" ht="15" hidden="false" customHeight="false" outlineLevel="0" collapsed="false">
      <c r="B205" s="9" t="s">
        <v>219</v>
      </c>
      <c r="C205" s="20" t="s">
        <v>78</v>
      </c>
      <c r="D205" s="15" t="n">
        <f aca="false">D200+D202+D204</f>
        <v>316.59</v>
      </c>
      <c r="E205" s="15" t="n">
        <f aca="false">E200+E202+E204</f>
        <v>351.815</v>
      </c>
      <c r="F205" s="15" t="n">
        <f aca="false">F200+F202+F204</f>
        <v>385.6</v>
      </c>
      <c r="G205" s="15" t="n">
        <f aca="false">G200+G202+G204</f>
        <v>420.27382</v>
      </c>
      <c r="H205" s="15" t="n">
        <f aca="false">H200+H202+H204</f>
        <v>462.056152086</v>
      </c>
      <c r="I205" s="15" t="n">
        <f aca="false">I200+I202+I204</f>
        <v>504.683625922595</v>
      </c>
    </row>
    <row r="206" customFormat="false" ht="15" hidden="false" customHeight="false" outlineLevel="0" collapsed="false">
      <c r="B206" s="9" t="s">
        <v>41</v>
      </c>
      <c r="C206" s="20" t="s">
        <v>78</v>
      </c>
      <c r="D206" s="15" t="n">
        <f aca="false">Inputs!$D$17</f>
        <v>44</v>
      </c>
      <c r="E206" s="15" t="n">
        <f aca="false">Inputs!$E$17</f>
        <v>46</v>
      </c>
      <c r="F206" s="15" t="n">
        <f aca="false">Inputs!$F$17</f>
        <v>48</v>
      </c>
      <c r="G206" s="15" t="n">
        <f aca="false">Inputs!$G$17</f>
        <v>50</v>
      </c>
      <c r="H206" s="15" t="n">
        <f aca="false">Inputs!$H$17</f>
        <v>52</v>
      </c>
      <c r="I206" s="15" t="n">
        <f aca="false">Inputs!$I$17</f>
        <v>54</v>
      </c>
    </row>
    <row r="207" customFormat="false" ht="15" hidden="false" customHeight="false" outlineLevel="0" collapsed="false">
      <c r="B207" s="26" t="s">
        <v>220</v>
      </c>
      <c r="C207" s="20" t="s">
        <v>78</v>
      </c>
      <c r="D207" s="27" t="n">
        <f aca="false">D205-D206</f>
        <v>272.59</v>
      </c>
      <c r="E207" s="27" t="n">
        <f aca="false">E205-E206</f>
        <v>305.815</v>
      </c>
      <c r="F207" s="27" t="n">
        <f aca="false">F205-F206</f>
        <v>337.6</v>
      </c>
      <c r="G207" s="27" t="n">
        <f aca="false">G205-G206</f>
        <v>370.27382</v>
      </c>
      <c r="H207" s="27" t="n">
        <f aca="false">H205-H206</f>
        <v>410.056152086</v>
      </c>
      <c r="I207" s="27" t="n">
        <f aca="false">I205-I206</f>
        <v>450.683625922595</v>
      </c>
    </row>
    <row r="208" customFormat="false" ht="15" hidden="false" customHeight="false" outlineLevel="0" collapsed="false">
      <c r="B208" s="9" t="s">
        <v>221</v>
      </c>
      <c r="C208" s="20" t="s">
        <v>206</v>
      </c>
      <c r="D208" s="14" t="n">
        <f aca="false">D207/D196</f>
        <v>0.139789743589744</v>
      </c>
      <c r="E208" s="14" t="n">
        <f aca="false">E207/E196</f>
        <v>0.147026442307692</v>
      </c>
      <c r="F208" s="14" t="n">
        <f aca="false">F207/F196</f>
        <v>0.153454545454545</v>
      </c>
      <c r="G208" s="14" t="n">
        <f aca="false">G207/G196</f>
        <v>0.158868073969194</v>
      </c>
      <c r="H208" s="14" t="n">
        <f aca="false">H207/H196</f>
        <v>0.165179468947906</v>
      </c>
      <c r="I208" s="14" t="n">
        <f aca="false">I207/I196</f>
        <v>0.17046689077236</v>
      </c>
    </row>
    <row r="209" customFormat="false" ht="15" hidden="false" customHeight="false" outlineLevel="0" collapsed="false">
      <c r="B209" s="9" t="s">
        <v>222</v>
      </c>
      <c r="C209" s="20" t="s">
        <v>78</v>
      </c>
      <c r="D209" s="15" t="n">
        <f aca="false">D196*Inputs!$D$80</f>
        <v>54.6</v>
      </c>
      <c r="E209" s="15" t="n">
        <f aca="false">E196*Inputs!$D$80</f>
        <v>58.24</v>
      </c>
      <c r="F209" s="15" t="n">
        <f aca="false">F196*Inputs!$D$80</f>
        <v>61.6</v>
      </c>
      <c r="G209" s="15" t="n">
        <f aca="false">G196*Inputs!$D$80</f>
        <v>65.2596</v>
      </c>
      <c r="H209" s="15" t="n">
        <f aca="false">H196*Inputs!$D$80</f>
        <v>69.509681388</v>
      </c>
      <c r="I209" s="15" t="n">
        <f aca="false">I196*Inputs!$D$80</f>
        <v>74.0269354867518</v>
      </c>
    </row>
    <row r="210" customFormat="false" ht="15" hidden="false" customHeight="false" outlineLevel="0" collapsed="false">
      <c r="B210" s="9" t="s">
        <v>223</v>
      </c>
      <c r="C210" s="20" t="s">
        <v>78</v>
      </c>
      <c r="D210" s="15" t="n">
        <f aca="false">D207+D209</f>
        <v>327.19</v>
      </c>
      <c r="E210" s="15" t="n">
        <f aca="false">E207+E209</f>
        <v>364.055</v>
      </c>
      <c r="F210" s="15" t="n">
        <f aca="false">F207+F209</f>
        <v>399.2</v>
      </c>
      <c r="G210" s="15" t="n">
        <f aca="false">G207+G209</f>
        <v>435.53342</v>
      </c>
      <c r="H210" s="15" t="n">
        <f aca="false">H207+H209</f>
        <v>479.565833474</v>
      </c>
      <c r="I210" s="15" t="n">
        <f aca="false">I207+I209</f>
        <v>524.710561409347</v>
      </c>
    </row>
    <row r="211" customFormat="false" ht="15" hidden="false" customHeight="false" outlineLevel="0" collapsed="false">
      <c r="B211" s="9" t="s">
        <v>42</v>
      </c>
      <c r="C211" s="20" t="s">
        <v>78</v>
      </c>
      <c r="D211" s="15" t="n">
        <f aca="false">Inputs!$D$18</f>
        <v>38</v>
      </c>
      <c r="E211" s="15" t="n">
        <f aca="false">Inputs!$E$18</f>
        <v>38</v>
      </c>
      <c r="F211" s="15" t="n">
        <f aca="false">Inputs!$F$18</f>
        <v>38</v>
      </c>
      <c r="G211" s="15" t="n">
        <f aca="false">Inputs!$G$18</f>
        <v>38</v>
      </c>
      <c r="H211" s="15" t="n">
        <f aca="false">Inputs!$H$18</f>
        <v>36</v>
      </c>
      <c r="I211" s="15" t="n">
        <f aca="false">Inputs!$I$18</f>
        <v>34</v>
      </c>
    </row>
    <row r="212" customFormat="false" ht="15" hidden="false" customHeight="false" outlineLevel="0" collapsed="false">
      <c r="B212" s="9" t="s">
        <v>43</v>
      </c>
      <c r="C212" s="20" t="s">
        <v>78</v>
      </c>
      <c r="D212" s="15" t="n">
        <f aca="false">Inputs!$D$19</f>
        <v>0</v>
      </c>
      <c r="E212" s="15" t="n">
        <f aca="false">Inputs!$E$19</f>
        <v>15</v>
      </c>
      <c r="F212" s="15" t="n">
        <f aca="false">Inputs!$F$19</f>
        <v>22</v>
      </c>
      <c r="G212" s="15" t="n">
        <f aca="false">Inputs!$G$19</f>
        <v>12</v>
      </c>
      <c r="H212" s="15" t="n">
        <f aca="false">Inputs!$H$19</f>
        <v>0</v>
      </c>
      <c r="I212" s="15" t="n">
        <f aca="false">Inputs!$I$19</f>
        <v>0</v>
      </c>
    </row>
    <row r="213" customFormat="false" ht="15" hidden="false" customHeight="false" outlineLevel="0" collapsed="false">
      <c r="B213" s="9" t="s">
        <v>224</v>
      </c>
      <c r="C213" s="20" t="s">
        <v>78</v>
      </c>
      <c r="D213" s="15" t="n">
        <f aca="false">D207-D211-D212</f>
        <v>234.59</v>
      </c>
      <c r="E213" s="15" t="n">
        <f aca="false">E207-E211-E212</f>
        <v>252.815</v>
      </c>
      <c r="F213" s="15" t="n">
        <f aca="false">F207-F211-F212</f>
        <v>277.6</v>
      </c>
      <c r="G213" s="15" t="n">
        <f aca="false">G207-G211-G212</f>
        <v>320.27382</v>
      </c>
      <c r="H213" s="15" t="n">
        <f aca="false">H207-H211-H212</f>
        <v>374.056152086</v>
      </c>
      <c r="I213" s="15" t="n">
        <f aca="false">I207-I211-I212</f>
        <v>416.683625922595</v>
      </c>
    </row>
    <row r="214" customFormat="false" ht="15" hidden="false" customHeight="false" outlineLevel="0" collapsed="false">
      <c r="B214" s="18" t="s">
        <v>225</v>
      </c>
      <c r="C214" s="19"/>
      <c r="D214" s="19"/>
      <c r="E214" s="19"/>
      <c r="F214" s="19"/>
      <c r="G214" s="19"/>
      <c r="H214" s="19"/>
      <c r="I214" s="19"/>
    </row>
    <row r="215" customFormat="false" ht="15" hidden="false" customHeight="false" outlineLevel="0" collapsed="false">
      <c r="B215" s="9" t="s">
        <v>226</v>
      </c>
      <c r="C215" s="20" t="s">
        <v>78</v>
      </c>
      <c r="D215" s="15" t="n">
        <f aca="false">Inputs!$D$20</f>
        <v>58</v>
      </c>
      <c r="E215" s="15" t="n">
        <f aca="false">Inputs!$E$20</f>
        <v>55</v>
      </c>
      <c r="F215" s="15" t="n">
        <f aca="false">Inputs!$F$20</f>
        <v>52</v>
      </c>
      <c r="G215" s="15" t="n">
        <f aca="false">F238*Inputs!$D$83</f>
        <v>55</v>
      </c>
      <c r="H215" s="15" t="n">
        <f aca="false">G238*Inputs!$D$83</f>
        <v>50.30439793</v>
      </c>
      <c r="I215" s="15" t="n">
        <f aca="false">H238*Inputs!$D$83</f>
        <v>43.916550708194</v>
      </c>
    </row>
    <row r="216" customFormat="false" ht="15" hidden="false" customHeight="false" outlineLevel="0" collapsed="false">
      <c r="B216" s="9" t="s">
        <v>227</v>
      </c>
      <c r="C216" s="20" t="s">
        <v>78</v>
      </c>
      <c r="D216" s="15" t="n">
        <f aca="false">D213-D215</f>
        <v>176.59</v>
      </c>
      <c r="E216" s="15" t="n">
        <f aca="false">E213-E215</f>
        <v>197.815</v>
      </c>
      <c r="F216" s="15" t="n">
        <f aca="false">F213-F215</f>
        <v>225.6</v>
      </c>
      <c r="G216" s="15" t="n">
        <f aca="false">G213-G215</f>
        <v>265.27382</v>
      </c>
      <c r="H216" s="15" t="n">
        <f aca="false">H213-H215</f>
        <v>323.751754156</v>
      </c>
      <c r="I216" s="15" t="n">
        <f aca="false">I213-I215</f>
        <v>372.767075214401</v>
      </c>
    </row>
    <row r="217" customFormat="false" ht="15" hidden="false" customHeight="false" outlineLevel="0" collapsed="false">
      <c r="B217" s="9" t="s">
        <v>228</v>
      </c>
      <c r="C217" s="20" t="s">
        <v>78</v>
      </c>
      <c r="D217" s="15" t="n">
        <f aca="false">D216*Inputs!$D$79</f>
        <v>40.6157</v>
      </c>
      <c r="E217" s="15" t="n">
        <f aca="false">E216*Inputs!$D$79</f>
        <v>45.49745</v>
      </c>
      <c r="F217" s="15" t="n">
        <f aca="false">F216*Inputs!$D$79</f>
        <v>51.888</v>
      </c>
      <c r="G217" s="15" t="n">
        <f aca="false">G216*Inputs!$D$79</f>
        <v>61.0129786</v>
      </c>
      <c r="H217" s="15" t="n">
        <f aca="false">H216*Inputs!$D$79</f>
        <v>74.46290345588</v>
      </c>
      <c r="I217" s="15" t="n">
        <f aca="false">I216*Inputs!$D$79</f>
        <v>85.7364272993122</v>
      </c>
    </row>
    <row r="218" customFormat="false" ht="15" hidden="false" customHeight="false" outlineLevel="0" collapsed="false">
      <c r="B218" s="9" t="s">
        <v>229</v>
      </c>
      <c r="C218" s="20" t="s">
        <v>78</v>
      </c>
      <c r="D218" s="15" t="n">
        <f aca="false">D216-D217</f>
        <v>135.9743</v>
      </c>
      <c r="E218" s="15" t="n">
        <f aca="false">E216-E217</f>
        <v>152.31755</v>
      </c>
      <c r="F218" s="15" t="n">
        <f aca="false">F216-F217</f>
        <v>173.712</v>
      </c>
      <c r="G218" s="15" t="n">
        <f aca="false">G216-G217</f>
        <v>204.2608414</v>
      </c>
      <c r="H218" s="15" t="n">
        <f aca="false">H216-H217</f>
        <v>249.28885070012</v>
      </c>
      <c r="I218" s="15" t="n">
        <f aca="false">I216-I217</f>
        <v>287.030647915089</v>
      </c>
    </row>
    <row r="219" customFormat="false" ht="15" hidden="false" customHeight="false" outlineLevel="0" collapsed="false">
      <c r="B219" s="9" t="s">
        <v>230</v>
      </c>
      <c r="C219" s="20" t="s">
        <v>231</v>
      </c>
      <c r="D219" s="16" t="n">
        <f aca="false">Inputs!$D$21</f>
        <v>57</v>
      </c>
      <c r="E219" s="16" t="n">
        <f aca="false">Inputs!$E$21</f>
        <v>56.3</v>
      </c>
      <c r="F219" s="16" t="n">
        <f aca="false">Inputs!$F$21</f>
        <v>55.6</v>
      </c>
      <c r="G219" s="16" t="n">
        <f aca="false">Inputs!$G$21</f>
        <v>55</v>
      </c>
      <c r="H219" s="16" t="n">
        <f aca="false">Inputs!$H$21</f>
        <v>54.4</v>
      </c>
      <c r="I219" s="16" t="n">
        <f aca="false">Inputs!$I$21</f>
        <v>53.8</v>
      </c>
    </row>
    <row r="220" customFormat="false" ht="15" hidden="false" customHeight="false" outlineLevel="0" collapsed="false">
      <c r="B220" s="26" t="s">
        <v>232</v>
      </c>
      <c r="C220" s="20" t="s">
        <v>61</v>
      </c>
      <c r="D220" s="28" t="n">
        <f aca="false">D218/D219</f>
        <v>2.38551403508772</v>
      </c>
      <c r="E220" s="28" t="n">
        <f aca="false">E218/E219</f>
        <v>2.70546269982238</v>
      </c>
      <c r="F220" s="28" t="n">
        <f aca="false">F218/F219</f>
        <v>3.12431654676259</v>
      </c>
      <c r="G220" s="28" t="n">
        <f aca="false">G218/G219</f>
        <v>3.71383348</v>
      </c>
      <c r="H220" s="28" t="n">
        <f aca="false">H218/H219</f>
        <v>4.58251563786985</v>
      </c>
      <c r="I220" s="28" t="n">
        <f aca="false">I218/I219</f>
        <v>5.33514215455555</v>
      </c>
    </row>
    <row r="221" customFormat="false" ht="15" hidden="false" customHeight="false" outlineLevel="0" collapsed="false">
      <c r="B221" s="18" t="s">
        <v>233</v>
      </c>
      <c r="C221" s="19"/>
      <c r="D221" s="19"/>
      <c r="E221" s="19"/>
      <c r="F221" s="19"/>
      <c r="G221" s="19"/>
      <c r="H221" s="19"/>
      <c r="I221" s="19"/>
    </row>
    <row r="222" customFormat="false" ht="15" hidden="false" customHeight="false" outlineLevel="0" collapsed="false">
      <c r="B222" s="9" t="s">
        <v>234</v>
      </c>
      <c r="C222" s="20" t="s">
        <v>61</v>
      </c>
      <c r="D222" s="17" t="n">
        <f aca="false">D211*(1-Inputs!$D$79)/D219</f>
        <v>0.513333333333333</v>
      </c>
      <c r="E222" s="17" t="n">
        <f aca="false">E211*(1-Inputs!$D$79)/E219</f>
        <v>0.519715808170515</v>
      </c>
      <c r="F222" s="17" t="n">
        <f aca="false">F211*(1-Inputs!$D$79)/F219</f>
        <v>0.526258992805755</v>
      </c>
      <c r="G222" s="17" t="n">
        <f aca="false">G211*(1-Inputs!$D$79)/G219</f>
        <v>0.532</v>
      </c>
      <c r="H222" s="17" t="n">
        <f aca="false">H211*(1-Inputs!$D$79)/H219</f>
        <v>0.509558823529412</v>
      </c>
      <c r="I222" s="17" t="n">
        <f aca="false">I211*(1-Inputs!$D$79)/I219</f>
        <v>0.486617100371747</v>
      </c>
    </row>
    <row r="223" customFormat="false" ht="15" hidden="false" customHeight="false" outlineLevel="0" collapsed="false">
      <c r="B223" s="9" t="s">
        <v>235</v>
      </c>
      <c r="C223" s="20" t="s">
        <v>61</v>
      </c>
      <c r="D223" s="17" t="n">
        <f aca="false">D212*(1-Inputs!$D$79)/D219</f>
        <v>0</v>
      </c>
      <c r="E223" s="17" t="n">
        <f aca="false">E212*(1-Inputs!$D$79)/E219</f>
        <v>0.205150976909414</v>
      </c>
      <c r="F223" s="17" t="n">
        <f aca="false">F212*(1-Inputs!$D$79)/F219</f>
        <v>0.304676258992806</v>
      </c>
      <c r="G223" s="17" t="n">
        <f aca="false">G212*(1-Inputs!$D$79)/G219</f>
        <v>0.168</v>
      </c>
      <c r="H223" s="17" t="n">
        <f aca="false">H212*(1-Inputs!$D$79)/H219</f>
        <v>0</v>
      </c>
      <c r="I223" s="17" t="n">
        <f aca="false">I212*(1-Inputs!$D$79)/I219</f>
        <v>0</v>
      </c>
    </row>
    <row r="224" customFormat="false" ht="15" hidden="false" customHeight="false" outlineLevel="0" collapsed="false">
      <c r="B224" s="9" t="s">
        <v>236</v>
      </c>
      <c r="C224" s="20" t="s">
        <v>78</v>
      </c>
      <c r="D224" s="15" t="n">
        <f aca="false">(D211+D212)*(1-Inputs!$D$79)</f>
        <v>29.26</v>
      </c>
      <c r="E224" s="15" t="n">
        <f aca="false">(E211+E212)*(1-Inputs!$D$79)</f>
        <v>40.81</v>
      </c>
      <c r="F224" s="15" t="n">
        <f aca="false">(F211+F212)*(1-Inputs!$D$79)</f>
        <v>46.2</v>
      </c>
      <c r="G224" s="15" t="n">
        <f aca="false">(G211+G212)*(1-Inputs!$D$79)</f>
        <v>38.5</v>
      </c>
      <c r="H224" s="15" t="n">
        <f aca="false">(H211+H212)*(1-Inputs!$D$79)</f>
        <v>27.72</v>
      </c>
      <c r="I224" s="15" t="n">
        <f aca="false">(I211+I212)*(1-Inputs!$D$79)</f>
        <v>26.18</v>
      </c>
    </row>
    <row r="225" customFormat="false" ht="15" hidden="false" customHeight="false" outlineLevel="0" collapsed="false">
      <c r="B225" s="9" t="s">
        <v>237</v>
      </c>
      <c r="C225" s="20" t="s">
        <v>78</v>
      </c>
      <c r="D225" s="15" t="n">
        <f aca="false">D218+D224</f>
        <v>165.2343</v>
      </c>
      <c r="E225" s="15" t="n">
        <f aca="false">E218+E224</f>
        <v>193.12755</v>
      </c>
      <c r="F225" s="15" t="n">
        <f aca="false">F218+F224</f>
        <v>219.912</v>
      </c>
      <c r="G225" s="15" t="n">
        <f aca="false">G218+G224</f>
        <v>242.7608414</v>
      </c>
      <c r="H225" s="15" t="n">
        <f aca="false">H218+H224</f>
        <v>277.00885070012</v>
      </c>
      <c r="I225" s="15" t="n">
        <f aca="false">I218+I224</f>
        <v>313.210647915089</v>
      </c>
    </row>
    <row r="226" customFormat="false" ht="15" hidden="false" customHeight="false" outlineLevel="0" collapsed="false">
      <c r="B226" s="26" t="s">
        <v>238</v>
      </c>
      <c r="C226" s="20" t="s">
        <v>61</v>
      </c>
      <c r="D226" s="28" t="n">
        <f aca="false">D225/D219</f>
        <v>2.89884736842105</v>
      </c>
      <c r="E226" s="28" t="n">
        <f aca="false">E225/E219</f>
        <v>3.43032948490231</v>
      </c>
      <c r="F226" s="28" t="n">
        <f aca="false">F225/F219</f>
        <v>3.95525179856115</v>
      </c>
      <c r="G226" s="28" t="n">
        <f aca="false">G225/G219</f>
        <v>4.41383348</v>
      </c>
      <c r="H226" s="28" t="n">
        <f aca="false">H225/H219</f>
        <v>5.09207446139927</v>
      </c>
      <c r="I226" s="28" t="n">
        <f aca="false">I225/I219</f>
        <v>5.8217592549273</v>
      </c>
    </row>
    <row r="227" customFormat="false" ht="15" hidden="false" customHeight="false" outlineLevel="0" collapsed="false">
      <c r="B227" s="9" t="s">
        <v>239</v>
      </c>
      <c r="C227" s="20" t="s">
        <v>206</v>
      </c>
      <c r="D227" s="9"/>
      <c r="E227" s="14" t="n">
        <f aca="false">E226/D226-1</f>
        <v>0.183342566521791</v>
      </c>
      <c r="F227" s="14" t="n">
        <f aca="false">F226/E226-1</f>
        <v>0.153023875977264</v>
      </c>
      <c r="G227" s="14" t="n">
        <f aca="false">G226/F226-1</f>
        <v>0.115942474662592</v>
      </c>
      <c r="H227" s="14" t="n">
        <f aca="false">H226/G226-1</f>
        <v>0.153662566671922</v>
      </c>
      <c r="I227" s="14" t="n">
        <f aca="false">I226/H226-1</f>
        <v>0.143298138913609</v>
      </c>
    </row>
    <row r="228" customFormat="false" ht="15" hidden="false" customHeight="false" outlineLevel="0" collapsed="false">
      <c r="B228" s="9" t="s">
        <v>240</v>
      </c>
      <c r="C228" s="20" t="s">
        <v>206</v>
      </c>
      <c r="D228" s="14" t="n">
        <f aca="false">D226/D220-1</f>
        <v>0.215187722974121</v>
      </c>
      <c r="E228" s="14" t="n">
        <f aca="false">E226/E220-1</f>
        <v>0.267927103606906</v>
      </c>
      <c r="F228" s="14" t="n">
        <f aca="false">F226/F220-1</f>
        <v>0.265957446808511</v>
      </c>
      <c r="G228" s="14" t="n">
        <f aca="false">G226/G220-1</f>
        <v>0.188484487462804</v>
      </c>
      <c r="H228" s="14" t="n">
        <f aca="false">H226/H220-1</f>
        <v>0.111196308708349</v>
      </c>
      <c r="I228" s="14" t="n">
        <f aca="false">I226/I220-1</f>
        <v>0.0912097721625349</v>
      </c>
    </row>
    <row r="229" customFormat="false" ht="15" hidden="false" customHeight="false" outlineLevel="0" collapsed="false">
      <c r="B229" s="18" t="s">
        <v>241</v>
      </c>
      <c r="C229" s="19"/>
      <c r="D229" s="19"/>
      <c r="E229" s="19"/>
      <c r="F229" s="19"/>
      <c r="G229" s="19"/>
      <c r="H229" s="19"/>
      <c r="I229" s="19"/>
    </row>
    <row r="230" customFormat="false" ht="15" hidden="false" customHeight="false" outlineLevel="0" collapsed="false">
      <c r="B230" s="9" t="s">
        <v>242</v>
      </c>
      <c r="C230" s="20" t="s">
        <v>78</v>
      </c>
      <c r="D230" s="15" t="n">
        <f aca="false">D196*Inputs!$D$81</f>
        <v>62.4</v>
      </c>
      <c r="E230" s="15" t="n">
        <f aca="false">E196*Inputs!$D$81</f>
        <v>66.56</v>
      </c>
      <c r="F230" s="15" t="n">
        <f aca="false">F196*Inputs!$D$81</f>
        <v>70.4</v>
      </c>
      <c r="G230" s="15" t="n">
        <f aca="false">G196*Inputs!$D$81</f>
        <v>74.5824</v>
      </c>
      <c r="H230" s="15" t="n">
        <f aca="false">H196*Inputs!$D$81</f>
        <v>79.439635872</v>
      </c>
      <c r="I230" s="15" t="n">
        <f aca="false">I196*Inputs!$D$81</f>
        <v>84.6022119848592</v>
      </c>
    </row>
    <row r="231" customFormat="false" ht="15" hidden="false" customHeight="false" outlineLevel="0" collapsed="false">
      <c r="B231" s="9" t="s">
        <v>243</v>
      </c>
      <c r="C231" s="20" t="s">
        <v>78</v>
      </c>
      <c r="D231" s="15" t="n">
        <f aca="false">(D196-(Inputs!$C$5+Inputs!$C$6+Inputs!$C$7))*Inputs!$D$82</f>
        <v>24.3</v>
      </c>
      <c r="E231" s="15" t="n">
        <f aca="false">(E196-D196)*Inputs!$D$82</f>
        <v>23.4</v>
      </c>
      <c r="F231" s="15" t="n">
        <f aca="false">(F196-E196)*Inputs!$D$82</f>
        <v>21.6</v>
      </c>
      <c r="G231" s="15" t="n">
        <f aca="false">(G196-F196)*Inputs!$D$82</f>
        <v>23.5260000000001</v>
      </c>
      <c r="H231" s="15" t="n">
        <f aca="false">(H196-G196)*Inputs!$D$82</f>
        <v>27.3219517799999</v>
      </c>
      <c r="I231" s="15" t="n">
        <f aca="false">(I196-H196)*Inputs!$D$82</f>
        <v>29.039490634833</v>
      </c>
    </row>
    <row r="232" customFormat="false" ht="15" hidden="false" customHeight="false" outlineLevel="0" collapsed="false">
      <c r="B232" s="26" t="s">
        <v>244</v>
      </c>
      <c r="C232" s="20" t="s">
        <v>78</v>
      </c>
      <c r="D232" s="27" t="n">
        <f aca="false">D218+D209+D211-D230-D231</f>
        <v>141.8743</v>
      </c>
      <c r="E232" s="27" t="n">
        <f aca="false">E218+E209+E211-E230-E231</f>
        <v>158.59755</v>
      </c>
      <c r="F232" s="27" t="n">
        <f aca="false">F218+F209+F211-F230-F231</f>
        <v>181.312</v>
      </c>
      <c r="G232" s="27" t="n">
        <f aca="false">G218+G209+G211-G230-G231</f>
        <v>209.4120414</v>
      </c>
      <c r="H232" s="27" t="n">
        <f aca="false">H218+H209+H211-H230-H231</f>
        <v>248.03694443612</v>
      </c>
      <c r="I232" s="27" t="n">
        <f aca="false">I218+I209+I211-I230-I231</f>
        <v>281.415880782148</v>
      </c>
    </row>
    <row r="233" customFormat="false" ht="15" hidden="false" customHeight="false" outlineLevel="0" collapsed="false">
      <c r="B233" s="9" t="s">
        <v>245</v>
      </c>
      <c r="C233" s="20" t="s">
        <v>206</v>
      </c>
      <c r="D233" s="29" t="n">
        <f aca="false">D232/D225</f>
        <v>0.85862499493144</v>
      </c>
      <c r="E233" s="29" t="n">
        <f aca="false">E232/E225</f>
        <v>0.821206244267066</v>
      </c>
      <c r="F233" s="29" t="n">
        <f aca="false">F232/F225</f>
        <v>0.824475244643312</v>
      </c>
      <c r="G233" s="29" t="n">
        <f aca="false">G232/G225</f>
        <v>0.862626938481191</v>
      </c>
      <c r="H233" s="29" t="n">
        <f aca="false">H232/H225</f>
        <v>0.895411622441754</v>
      </c>
      <c r="I233" s="29" t="n">
        <f aca="false">I232/I225</f>
        <v>0.89848759183449</v>
      </c>
    </row>
    <row r="234" customFormat="false" ht="15" hidden="false" customHeight="false" outlineLevel="0" collapsed="false">
      <c r="B234" s="9" t="s">
        <v>246</v>
      </c>
      <c r="C234" s="20" t="s">
        <v>61</v>
      </c>
      <c r="D234" s="17" t="n">
        <f aca="false">D232/D219</f>
        <v>2.48902280701754</v>
      </c>
      <c r="E234" s="17" t="n">
        <f aca="false">E232/E219</f>
        <v>2.81700799289521</v>
      </c>
      <c r="F234" s="17" t="n">
        <f aca="false">F232/F219</f>
        <v>3.2610071942446</v>
      </c>
      <c r="G234" s="17" t="n">
        <f aca="false">G232/G219</f>
        <v>3.80749166181818</v>
      </c>
      <c r="H234" s="17" t="n">
        <f aca="false">H232/H219</f>
        <v>4.55950265507574</v>
      </c>
      <c r="I234" s="17" t="n">
        <f aca="false">I232/I219</f>
        <v>5.23077845319978</v>
      </c>
    </row>
    <row r="235" customFormat="false" ht="15" hidden="false" customHeight="false" outlineLevel="0" collapsed="false">
      <c r="B235" s="9" t="s">
        <v>247</v>
      </c>
      <c r="C235" s="20" t="s">
        <v>61</v>
      </c>
      <c r="D235" s="17" t="n">
        <f aca="false">Inputs!$D$22</f>
        <v>0.9</v>
      </c>
      <c r="E235" s="17" t="n">
        <f aca="false">Inputs!$E$22</f>
        <v>0.96</v>
      </c>
      <c r="F235" s="17" t="n">
        <f aca="false">Inputs!$F$22</f>
        <v>1.02</v>
      </c>
      <c r="G235" s="17" t="n">
        <f aca="false">Inputs!$G$22</f>
        <v>1.1</v>
      </c>
      <c r="H235" s="17" t="n">
        <f aca="false">Inputs!$H$22</f>
        <v>1.2</v>
      </c>
      <c r="I235" s="17" t="n">
        <f aca="false">Inputs!$I$22</f>
        <v>1.3</v>
      </c>
    </row>
    <row r="236" customFormat="false" ht="15" hidden="false" customHeight="false" outlineLevel="0" collapsed="false">
      <c r="B236" s="9" t="s">
        <v>248</v>
      </c>
      <c r="C236" s="20" t="s">
        <v>78</v>
      </c>
      <c r="D236" s="15" t="n">
        <f aca="false">D235*D219</f>
        <v>51.3</v>
      </c>
      <c r="E236" s="15" t="n">
        <f aca="false">E235*E219</f>
        <v>54.048</v>
      </c>
      <c r="F236" s="15" t="n">
        <f aca="false">F235*F219</f>
        <v>56.712</v>
      </c>
      <c r="G236" s="15" t="n">
        <f aca="false">G235*G219</f>
        <v>60.5</v>
      </c>
      <c r="H236" s="15" t="n">
        <f aca="false">H235*H219</f>
        <v>65.28</v>
      </c>
      <c r="I236" s="15" t="n">
        <f aca="false">I235*I219</f>
        <v>69.94</v>
      </c>
    </row>
    <row r="237" customFormat="false" ht="15" hidden="false" customHeight="false" outlineLevel="0" collapsed="false">
      <c r="B237" s="9" t="s">
        <v>48</v>
      </c>
      <c r="C237" s="20" t="s">
        <v>78</v>
      </c>
      <c r="D237" s="9"/>
      <c r="E237" s="9"/>
      <c r="F237" s="9"/>
      <c r="G237" s="15" t="n">
        <f aca="false">Inputs!$G$24</f>
        <v>55</v>
      </c>
      <c r="H237" s="15" t="n">
        <f aca="false">Inputs!$H$24</f>
        <v>55</v>
      </c>
      <c r="I237" s="15" t="n">
        <f aca="false">Inputs!$I$24</f>
        <v>55</v>
      </c>
    </row>
    <row r="238" customFormat="false" ht="15" hidden="false" customHeight="false" outlineLevel="0" collapsed="false">
      <c r="B238" s="26" t="s">
        <v>249</v>
      </c>
      <c r="C238" s="20" t="s">
        <v>78</v>
      </c>
      <c r="D238" s="27" t="n">
        <f aca="false">Inputs!$D$23</f>
        <v>1210</v>
      </c>
      <c r="E238" s="27" t="n">
        <f aca="false">Inputs!$E$23</f>
        <v>1160</v>
      </c>
      <c r="F238" s="27" t="n">
        <f aca="false">Inputs!$F$23</f>
        <v>1100</v>
      </c>
      <c r="G238" s="27" t="n">
        <f aca="false">F238-G232+G236+G237</f>
        <v>1006.0879586</v>
      </c>
      <c r="H238" s="27" t="n">
        <f aca="false">G238-H232+H236+H237</f>
        <v>878.33101416388</v>
      </c>
      <c r="I238" s="27" t="n">
        <f aca="false">H238-I232+I236+I237</f>
        <v>721.855133381732</v>
      </c>
    </row>
    <row r="239" customFormat="false" ht="15" hidden="false" customHeight="false" outlineLevel="0" collapsed="false">
      <c r="B239" s="9" t="s">
        <v>250</v>
      </c>
      <c r="C239" s="20" t="s">
        <v>251</v>
      </c>
      <c r="D239" s="30" t="n">
        <f aca="false">D238/D210</f>
        <v>3.69815703413918</v>
      </c>
      <c r="E239" s="30" t="n">
        <f aca="false">E238/E210</f>
        <v>3.1863317355894</v>
      </c>
      <c r="F239" s="30" t="n">
        <f aca="false">F238/F210</f>
        <v>2.75551102204409</v>
      </c>
      <c r="G239" s="30" t="n">
        <f aca="false">G238/G210</f>
        <v>2.31001322148826</v>
      </c>
      <c r="H239" s="30" t="n">
        <f aca="false">H238/H210</f>
        <v>1.83151290783416</v>
      </c>
      <c r="I239" s="30" t="n">
        <f aca="false">I238/I210</f>
        <v>1.37572060955446</v>
      </c>
    </row>
    <row r="240" customFormat="false" ht="15" hidden="false" customHeight="false" outlineLevel="0" collapsed="false">
      <c r="B240" s="9" t="s">
        <v>252</v>
      </c>
      <c r="C240" s="20" t="s">
        <v>78</v>
      </c>
      <c r="D240" s="15" t="n">
        <f aca="false">D213*(1-Inputs!$D$79)+D209+D211-D230-D231</f>
        <v>186.5343</v>
      </c>
      <c r="E240" s="15" t="n">
        <f aca="false">E213*(1-Inputs!$D$79)+E209+E211-E230-E231</f>
        <v>200.94755</v>
      </c>
      <c r="F240" s="15" t="n">
        <f aca="false">F213*(1-Inputs!$D$79)+F209+F211-F230-F231</f>
        <v>221.352</v>
      </c>
      <c r="G240" s="15" t="n">
        <f aca="false">G213*(1-Inputs!$D$79)+G209+G211-G230-G231</f>
        <v>251.7620414</v>
      </c>
      <c r="H240" s="15" t="n">
        <f aca="false">H213*(1-Inputs!$D$79)+H209+H211-H230-H231</f>
        <v>286.77133084222</v>
      </c>
      <c r="I240" s="15" t="n">
        <f aca="false">I213*(1-Inputs!$D$79)+I209+I211-I230-I231</f>
        <v>315.231624827458</v>
      </c>
    </row>
    <row r="241" customFormat="false" ht="15" hidden="false" customHeight="false" outlineLevel="0" collapsed="false">
      <c r="B241" s="18" t="s">
        <v>253</v>
      </c>
      <c r="C241" s="19"/>
      <c r="D241" s="19"/>
      <c r="E241" s="19"/>
      <c r="F241" s="19"/>
      <c r="G241" s="19"/>
      <c r="H241" s="19"/>
      <c r="I241" s="19"/>
    </row>
    <row r="242" customFormat="false" ht="15" hidden="false" customHeight="false" outlineLevel="0" collapsed="false">
      <c r="B242" s="9" t="s">
        <v>254</v>
      </c>
      <c r="C242" s="20" t="s">
        <v>206</v>
      </c>
      <c r="D242" s="9"/>
      <c r="E242" s="14" t="n">
        <f aca="false">(E200-D200)/(E187-D187)</f>
        <v>0.241555555555556</v>
      </c>
      <c r="F242" s="14" t="n">
        <f aca="false">(F200-E200)/(F187-E187)</f>
        <v>0.254</v>
      </c>
      <c r="G242" s="14" t="n">
        <f aca="false">(G200-F200)/(G187-F187)</f>
        <v>0.188737588652483</v>
      </c>
      <c r="H242" s="14" t="n">
        <f aca="false">(H200-G200)/(H187-G187)</f>
        <v>0.235009900990099</v>
      </c>
      <c r="I242" s="14" t="n">
        <f aca="false">(I200-H200)/(I187-H187)</f>
        <v>0.227912087912088</v>
      </c>
    </row>
    <row r="243" customFormat="false" ht="15" hidden="false" customHeight="false" outlineLevel="0" collapsed="false">
      <c r="B243" s="9" t="s">
        <v>255</v>
      </c>
      <c r="C243" s="20" t="s">
        <v>206</v>
      </c>
      <c r="D243" s="9"/>
      <c r="E243" s="14" t="n">
        <f aca="false">(E202-D202)/(E191-D191)</f>
        <v>0.280090909090909</v>
      </c>
      <c r="F243" s="14" t="n">
        <f aca="false">(F202-E202)/(F191-E191)</f>
        <v>0.284454545454545</v>
      </c>
      <c r="G243" s="14" t="n">
        <f aca="false">(G202-F202)/(G191-F191)</f>
        <v>0.310485549132948</v>
      </c>
      <c r="H243" s="14" t="n">
        <f aca="false">(H202-G202)/(H191-G191)</f>
        <v>0.301398362892224</v>
      </c>
      <c r="I243" s="14" t="n">
        <f aca="false">(I202-H202)/(I191-H191)</f>
        <v>0.291576354679803</v>
      </c>
    </row>
    <row r="244" customFormat="false" ht="15" hidden="false" customHeight="false" outlineLevel="0" collapsed="false">
      <c r="B244" s="9" t="s">
        <v>256</v>
      </c>
      <c r="C244" s="20" t="s">
        <v>206</v>
      </c>
      <c r="D244" s="9"/>
      <c r="E244" s="14" t="n">
        <f aca="false">(E204-D204)/(E195-D195)</f>
        <v>0.298333333333333</v>
      </c>
      <c r="F244" s="14" t="n">
        <f aca="false">(F204-E204)/(F195-E195)</f>
        <v>0.308333333333333</v>
      </c>
      <c r="G244" s="14" t="n">
        <f aca="false">(G204-F204)/(G195-F195)</f>
        <v>0.27980981595092</v>
      </c>
      <c r="H244" s="14" t="n">
        <f aca="false">(H204-G204)/(H195-G195)</f>
        <v>0.28062204270052</v>
      </c>
      <c r="I244" s="14" t="n">
        <f aca="false">(I204-H204)/(I195-H195)</f>
        <v>0.271081361800346</v>
      </c>
    </row>
    <row r="245" customFormat="false" ht="15" hidden="false" customHeight="false" outlineLevel="0" collapsed="false">
      <c r="B245" s="9" t="s">
        <v>257</v>
      </c>
      <c r="C245" s="20" t="s">
        <v>206</v>
      </c>
      <c r="D245" s="9"/>
      <c r="E245" s="14" t="n">
        <f aca="false">(E207-D207)/(E196-D196)</f>
        <v>0.255576923076923</v>
      </c>
      <c r="F245" s="14" t="n">
        <f aca="false">(F207-E207)/(F196-E196)</f>
        <v>0.264875</v>
      </c>
      <c r="G245" s="14" t="n">
        <f aca="false">(G207-F207)/(G196-F196)</f>
        <v>0.249990971690895</v>
      </c>
      <c r="H245" s="14" t="n">
        <f aca="false">(H207-G207)/(H196-G196)</f>
        <v>0.262090345270348</v>
      </c>
      <c r="I245" s="14" t="n">
        <f aca="false">(I207-H207)/(I196-H196)</f>
        <v>0.251827602024643</v>
      </c>
    </row>
    <row r="247" customFormat="false" ht="15" hidden="false" customHeight="false" outlineLevel="0" collapsed="false">
      <c r="B247" s="7" t="s">
        <v>418</v>
      </c>
      <c r="C247" s="8"/>
      <c r="D247" s="8" t="s">
        <v>23</v>
      </c>
      <c r="E247" s="8" t="s">
        <v>24</v>
      </c>
      <c r="F247" s="8" t="s">
        <v>25</v>
      </c>
      <c r="G247" s="8" t="s">
        <v>26</v>
      </c>
      <c r="H247" s="8" t="s">
        <v>27</v>
      </c>
      <c r="I247" s="8" t="s">
        <v>28</v>
      </c>
    </row>
    <row r="248" customFormat="false" ht="15" hidden="false" customHeight="false" outlineLevel="0" collapsed="false">
      <c r="B248" s="18" t="s">
        <v>205</v>
      </c>
      <c r="C248" s="19"/>
      <c r="D248" s="19"/>
      <c r="E248" s="19"/>
      <c r="F248" s="19"/>
      <c r="G248" s="19"/>
      <c r="H248" s="19"/>
      <c r="I248" s="19"/>
    </row>
    <row r="249" customFormat="false" ht="15" hidden="false" customHeight="false" outlineLevel="0" collapsed="false">
      <c r="B249" s="9" t="s">
        <v>32</v>
      </c>
      <c r="C249" s="20" t="s">
        <v>206</v>
      </c>
      <c r="D249" s="14" t="n">
        <f aca="false">(1+D251)/(1+D250)-1</f>
        <v>0.0103708741165327</v>
      </c>
      <c r="E249" s="14" t="n">
        <f aca="false">(1+E251)/(1+E250)-1</f>
        <v>0.0128827483196416</v>
      </c>
      <c r="F249" s="14" t="n">
        <f aca="false">(1+F251)/(1+F250)-1</f>
        <v>0.00708103855232101</v>
      </c>
      <c r="G249" s="14" t="n">
        <f aca="false">Inputs!$G$8</f>
        <v>0.01</v>
      </c>
      <c r="H249" s="14" t="n">
        <f aca="false">Inputs!$H$8</f>
        <v>0.02</v>
      </c>
      <c r="I249" s="14" t="n">
        <f aca="false">Inputs!$I$8</f>
        <v>0.025</v>
      </c>
    </row>
    <row r="250" customFormat="false" ht="15" hidden="false" customHeight="false" outlineLevel="0" collapsed="false">
      <c r="B250" s="9" t="s">
        <v>35</v>
      </c>
      <c r="C250" s="20" t="s">
        <v>206</v>
      </c>
      <c r="D250" s="14" t="n">
        <f aca="false">Inputs!$D$11</f>
        <v>0.045</v>
      </c>
      <c r="E250" s="14" t="n">
        <f aca="false">Inputs!$E$11</f>
        <v>0.03</v>
      </c>
      <c r="F250" s="14" t="n">
        <f aca="false">Inputs!$F$11</f>
        <v>0.025</v>
      </c>
      <c r="G250" s="14" t="n">
        <f aca="false">Inputs!$G$11</f>
        <v>0.025</v>
      </c>
      <c r="H250" s="14" t="n">
        <f aca="false">Inputs!$H$11</f>
        <v>0.02</v>
      </c>
      <c r="I250" s="14" t="n">
        <f aca="false">Inputs!$I$11</f>
        <v>0.02</v>
      </c>
    </row>
    <row r="251" customFormat="false" ht="15" hidden="false" customHeight="false" outlineLevel="0" collapsed="false">
      <c r="B251" s="9" t="s">
        <v>207</v>
      </c>
      <c r="C251" s="20" t="s">
        <v>206</v>
      </c>
      <c r="D251" s="14" t="n">
        <f aca="false">D252/Inputs!$C$5-1</f>
        <v>0.0558375634517767</v>
      </c>
      <c r="E251" s="14" t="n">
        <f aca="false">E252/D252-1</f>
        <v>0.0432692307692308</v>
      </c>
      <c r="F251" s="14" t="n">
        <f aca="false">F252/E252-1</f>
        <v>0.032258064516129</v>
      </c>
      <c r="G251" s="14" t="n">
        <f aca="false">(1+G249)*(1+G250)-1</f>
        <v>0.03525</v>
      </c>
      <c r="H251" s="14" t="n">
        <f aca="false">(1+H249)*(1+H250)-1</f>
        <v>0.0404</v>
      </c>
      <c r="I251" s="14" t="n">
        <f aca="false">(1+I249)*(1+I250)-1</f>
        <v>0.0454999999999999</v>
      </c>
    </row>
    <row r="252" customFormat="false" ht="15" hidden="false" customHeight="false" outlineLevel="0" collapsed="false">
      <c r="B252" s="9" t="s">
        <v>208</v>
      </c>
      <c r="C252" s="20" t="s">
        <v>78</v>
      </c>
      <c r="D252" s="15" t="n">
        <f aca="false">Inputs!$D$5</f>
        <v>1040</v>
      </c>
      <c r="E252" s="15" t="n">
        <f aca="false">Inputs!$E$5</f>
        <v>1085</v>
      </c>
      <c r="F252" s="15" t="n">
        <f aca="false">Inputs!$F$5</f>
        <v>1120</v>
      </c>
      <c r="G252" s="15" t="n">
        <f aca="false">F252*(1+G251)</f>
        <v>1159.48</v>
      </c>
      <c r="H252" s="15" t="n">
        <f aca="false">G252*(1+H251)</f>
        <v>1206.322992</v>
      </c>
      <c r="I252" s="15" t="n">
        <f aca="false">H252*(1+I251)</f>
        <v>1261.210688136</v>
      </c>
    </row>
    <row r="253" customFormat="false" ht="15" hidden="false" customHeight="false" outlineLevel="0" collapsed="false">
      <c r="B253" s="9" t="s">
        <v>33</v>
      </c>
      <c r="C253" s="20" t="s">
        <v>206</v>
      </c>
      <c r="D253" s="14" t="n">
        <f aca="false">(1+D255)/(1+D254)-1</f>
        <v>0.0661409719987125</v>
      </c>
      <c r="E253" s="14" t="n">
        <f aca="false">(1+E255)/(1+E254)-1</f>
        <v>0.0716248397142334</v>
      </c>
      <c r="F253" s="14" t="n">
        <f aca="false">(1+F255)/(1+F254)-1</f>
        <v>0.0673337502605798</v>
      </c>
      <c r="G253" s="14" t="n">
        <f aca="false">Inputs!$G$9</f>
        <v>0.06</v>
      </c>
      <c r="H253" s="14" t="n">
        <f aca="false">Inputs!$H$9</f>
        <v>0.065</v>
      </c>
      <c r="I253" s="14" t="n">
        <f aca="false">Inputs!$I$9</f>
        <v>0.06</v>
      </c>
    </row>
    <row r="254" customFormat="false" ht="15" hidden="false" customHeight="false" outlineLevel="0" collapsed="false">
      <c r="B254" s="9" t="s">
        <v>36</v>
      </c>
      <c r="C254" s="20" t="s">
        <v>206</v>
      </c>
      <c r="D254" s="14" t="n">
        <f aca="false">Inputs!$D$12</f>
        <v>0.04</v>
      </c>
      <c r="E254" s="14" t="n">
        <f aca="false">Inputs!$E$12</f>
        <v>0.03</v>
      </c>
      <c r="F254" s="14" t="n">
        <f aca="false">Inputs!$F$12</f>
        <v>0.025</v>
      </c>
      <c r="G254" s="14" t="n">
        <f aca="false">Inputs!$G$12</f>
        <v>0.025</v>
      </c>
      <c r="H254" s="14" t="n">
        <f aca="false">Inputs!$H$12</f>
        <v>0.025</v>
      </c>
      <c r="I254" s="14" t="n">
        <f aca="false">Inputs!$I$12</f>
        <v>0.02</v>
      </c>
    </row>
    <row r="255" customFormat="false" ht="15" hidden="false" customHeight="false" outlineLevel="0" collapsed="false">
      <c r="B255" s="9" t="s">
        <v>209</v>
      </c>
      <c r="C255" s="20" t="s">
        <v>206</v>
      </c>
      <c r="D255" s="14" t="n">
        <f aca="false">D256/Inputs!$C$6-1</f>
        <v>0.108786610878661</v>
      </c>
      <c r="E255" s="14" t="n">
        <f aca="false">E256/D256-1</f>
        <v>0.10377358490566</v>
      </c>
      <c r="F255" s="14" t="n">
        <f aca="false">F256/E256-1</f>
        <v>0.0940170940170941</v>
      </c>
      <c r="G255" s="14" t="n">
        <f aca="false">(1+G253)*(1+G254)-1</f>
        <v>0.0865</v>
      </c>
      <c r="H255" s="14" t="n">
        <f aca="false">(1+H253)*(1+H254)-1</f>
        <v>0.0916249999999999</v>
      </c>
      <c r="I255" s="14" t="n">
        <f aca="false">(1+I253)*(1+I254)-1</f>
        <v>0.0812000000000002</v>
      </c>
    </row>
    <row r="256" customFormat="false" ht="15" hidden="false" customHeight="false" outlineLevel="0" collapsed="false">
      <c r="B256" s="9" t="s">
        <v>210</v>
      </c>
      <c r="C256" s="20" t="s">
        <v>78</v>
      </c>
      <c r="D256" s="15" t="n">
        <f aca="false">Inputs!$D$6</f>
        <v>530</v>
      </c>
      <c r="E256" s="15" t="n">
        <f aca="false">Inputs!$E$6</f>
        <v>585</v>
      </c>
      <c r="F256" s="15" t="n">
        <f aca="false">Inputs!$F$6</f>
        <v>640</v>
      </c>
      <c r="G256" s="15" t="n">
        <f aca="false">F256*(1+G255)</f>
        <v>695.36</v>
      </c>
      <c r="H256" s="15" t="n">
        <f aca="false">G256*(1+H255)</f>
        <v>759.07236</v>
      </c>
      <c r="I256" s="15" t="n">
        <f aca="false">H256*(1+I255)</f>
        <v>820.709035632</v>
      </c>
    </row>
    <row r="257" customFormat="false" ht="15" hidden="false" customHeight="false" outlineLevel="0" collapsed="false">
      <c r="B257" s="9" t="s">
        <v>34</v>
      </c>
      <c r="C257" s="20" t="s">
        <v>206</v>
      </c>
      <c r="D257" s="14" t="n">
        <f aca="false">(1+D259)/(1+D258)-1</f>
        <v>0.0281385281385282</v>
      </c>
      <c r="E257" s="14" t="n">
        <f aca="false">(1+E259)/(1+E258)-1</f>
        <v>0.0424612255275871</v>
      </c>
      <c r="F257" s="14" t="n">
        <f aca="false">(1+F259)/(1+F258)-1</f>
        <v>0.0419133317546767</v>
      </c>
      <c r="G257" s="14" t="n">
        <f aca="false">Inputs!$G$10</f>
        <v>0.04</v>
      </c>
      <c r="H257" s="14" t="n">
        <f aca="false">Inputs!$H$10</f>
        <v>0.045</v>
      </c>
      <c r="I257" s="14" t="n">
        <f aca="false">Inputs!$I$10</f>
        <v>0.045</v>
      </c>
    </row>
    <row r="258" customFormat="false" ht="15" hidden="false" customHeight="false" outlineLevel="0" collapsed="false">
      <c r="B258" s="9" t="s">
        <v>37</v>
      </c>
      <c r="C258" s="20" t="s">
        <v>206</v>
      </c>
      <c r="D258" s="14" t="n">
        <f aca="false">Inputs!$D$13</f>
        <v>0.05</v>
      </c>
      <c r="E258" s="14" t="n">
        <f aca="false">Inputs!$E$13</f>
        <v>0.035</v>
      </c>
      <c r="F258" s="14" t="n">
        <f aca="false">Inputs!$F$13</f>
        <v>0.03</v>
      </c>
      <c r="G258" s="14" t="n">
        <f aca="false">Inputs!$G$13</f>
        <v>0.03</v>
      </c>
      <c r="H258" s="14" t="n">
        <f aca="false">Inputs!$H$13</f>
        <v>0.03</v>
      </c>
      <c r="I258" s="14" t="n">
        <f aca="false">Inputs!$I$13</f>
        <v>0.03</v>
      </c>
    </row>
    <row r="259" customFormat="false" ht="15" hidden="false" customHeight="false" outlineLevel="0" collapsed="false">
      <c r="B259" s="9" t="s">
        <v>211</v>
      </c>
      <c r="C259" s="20" t="s">
        <v>206</v>
      </c>
      <c r="D259" s="14" t="n">
        <f aca="false">D260/Inputs!$C$7-1</f>
        <v>0.0795454545454546</v>
      </c>
      <c r="E259" s="14" t="n">
        <f aca="false">E260/D260-1</f>
        <v>0.0789473684210527</v>
      </c>
      <c r="F259" s="14" t="n">
        <f aca="false">F260/E260-1</f>
        <v>0.0731707317073171</v>
      </c>
      <c r="G259" s="14" t="n">
        <f aca="false">(1+G257)*(1+G258)-1</f>
        <v>0.0712000000000002</v>
      </c>
      <c r="H259" s="14" t="n">
        <f aca="false">(1+H257)*(1+H258)-1</f>
        <v>0.0763499999999999</v>
      </c>
      <c r="I259" s="14" t="n">
        <f aca="false">(1+I257)*(1+I258)-1</f>
        <v>0.0763499999999999</v>
      </c>
    </row>
    <row r="260" customFormat="false" ht="15" hidden="false" customHeight="false" outlineLevel="0" collapsed="false">
      <c r="B260" s="9" t="s">
        <v>212</v>
      </c>
      <c r="C260" s="20" t="s">
        <v>78</v>
      </c>
      <c r="D260" s="15" t="n">
        <f aca="false">Inputs!$D$7</f>
        <v>380</v>
      </c>
      <c r="E260" s="15" t="n">
        <f aca="false">Inputs!$E$7</f>
        <v>410</v>
      </c>
      <c r="F260" s="15" t="n">
        <f aca="false">Inputs!$F$7</f>
        <v>440</v>
      </c>
      <c r="G260" s="15" t="n">
        <f aca="false">F260*(1+G259)</f>
        <v>471.328</v>
      </c>
      <c r="H260" s="15" t="n">
        <f aca="false">G260*(1+H259)</f>
        <v>507.3138928</v>
      </c>
      <c r="I260" s="15" t="n">
        <f aca="false">H260*(1+I259)</f>
        <v>546.04730851528</v>
      </c>
    </row>
    <row r="261" customFormat="false" ht="15" hidden="false" customHeight="false" outlineLevel="0" collapsed="false">
      <c r="B261" s="26" t="s">
        <v>213</v>
      </c>
      <c r="C261" s="20" t="s">
        <v>78</v>
      </c>
      <c r="D261" s="27" t="n">
        <f aca="false">D252+D256+D260</f>
        <v>1950</v>
      </c>
      <c r="E261" s="27" t="n">
        <f aca="false">E252+E256+E260</f>
        <v>2080</v>
      </c>
      <c r="F261" s="27" t="n">
        <f aca="false">F252+F256+F260</f>
        <v>2200</v>
      </c>
      <c r="G261" s="27" t="n">
        <f aca="false">G252+G256+G260</f>
        <v>2326.168</v>
      </c>
      <c r="H261" s="27" t="n">
        <f aca="false">H252+H256+H260</f>
        <v>2472.7092448</v>
      </c>
      <c r="I261" s="27" t="n">
        <f aca="false">I252+I256+I260</f>
        <v>2627.96703228328</v>
      </c>
    </row>
    <row r="262" customFormat="false" ht="15" hidden="false" customHeight="false" outlineLevel="0" collapsed="false">
      <c r="B262" s="9" t="s">
        <v>214</v>
      </c>
      <c r="C262" s="20" t="s">
        <v>206</v>
      </c>
      <c r="D262" s="14" t="n">
        <f aca="false">D261/(Inputs!$C$5+Inputs!$C$6+Inputs!$C$7)-1</f>
        <v>0.0743801652892562</v>
      </c>
      <c r="E262" s="14" t="n">
        <f aca="false">E261/D261-1</f>
        <v>0.0666666666666667</v>
      </c>
      <c r="F262" s="14" t="n">
        <f aca="false">F261/E261-1</f>
        <v>0.0576923076923077</v>
      </c>
      <c r="G262" s="14" t="n">
        <f aca="false">G261/F261-1</f>
        <v>0.057349090909091</v>
      </c>
      <c r="H262" s="14" t="n">
        <f aca="false">H261/G261-1</f>
        <v>0.0629968449398324</v>
      </c>
      <c r="I262" s="14" t="n">
        <f aca="false">I261/H261-1</f>
        <v>0.062788533593175</v>
      </c>
    </row>
    <row r="263" customFormat="false" ht="15" hidden="false" customHeight="false" outlineLevel="0" collapsed="false">
      <c r="B263" s="18" t="s">
        <v>215</v>
      </c>
      <c r="C263" s="19"/>
      <c r="D263" s="19"/>
      <c r="E263" s="19"/>
      <c r="F263" s="19"/>
      <c r="G263" s="19"/>
      <c r="H263" s="19"/>
      <c r="I263" s="19"/>
    </row>
    <row r="264" customFormat="false" ht="15" hidden="false" customHeight="false" outlineLevel="0" collapsed="false">
      <c r="B264" s="9" t="s">
        <v>38</v>
      </c>
      <c r="C264" s="20" t="s">
        <v>206</v>
      </c>
      <c r="D264" s="14" t="n">
        <f aca="false">Inputs!$D$14</f>
        <v>0.121</v>
      </c>
      <c r="E264" s="14" t="n">
        <f aca="false">Inputs!$E$14</f>
        <v>0.126</v>
      </c>
      <c r="F264" s="14" t="n">
        <f aca="false">Inputs!$F$14</f>
        <v>0.13</v>
      </c>
      <c r="G264" s="14" t="n">
        <f aca="false">Inputs!$G$14</f>
        <v>0.132</v>
      </c>
      <c r="H264" s="14" t="n">
        <f aca="false">Inputs!$H$14</f>
        <v>0.136</v>
      </c>
      <c r="I264" s="14" t="n">
        <f aca="false">Inputs!$I$14</f>
        <v>0.14</v>
      </c>
    </row>
    <row r="265" customFormat="false" ht="15" hidden="false" customHeight="false" outlineLevel="0" collapsed="false">
      <c r="B265" s="9" t="s">
        <v>216</v>
      </c>
      <c r="C265" s="20" t="s">
        <v>78</v>
      </c>
      <c r="D265" s="15" t="n">
        <f aca="false">D252*D264</f>
        <v>125.84</v>
      </c>
      <c r="E265" s="15" t="n">
        <f aca="false">E252*E264</f>
        <v>136.71</v>
      </c>
      <c r="F265" s="15" t="n">
        <f aca="false">F252*F264</f>
        <v>145.6</v>
      </c>
      <c r="G265" s="15" t="n">
        <f aca="false">G252*G264</f>
        <v>153.05136</v>
      </c>
      <c r="H265" s="15" t="n">
        <f aca="false">H252*H264</f>
        <v>164.059926912</v>
      </c>
      <c r="I265" s="15" t="n">
        <f aca="false">I252*I264</f>
        <v>176.56949633904</v>
      </c>
    </row>
    <row r="266" customFormat="false" ht="15" hidden="false" customHeight="false" outlineLevel="0" collapsed="false">
      <c r="B266" s="9" t="s">
        <v>39</v>
      </c>
      <c r="C266" s="20" t="s">
        <v>206</v>
      </c>
      <c r="D266" s="14" t="n">
        <f aca="false">Inputs!$D$15</f>
        <v>0.195</v>
      </c>
      <c r="E266" s="14" t="n">
        <f aca="false">Inputs!$E$15</f>
        <v>0.203</v>
      </c>
      <c r="F266" s="14" t="n">
        <f aca="false">Inputs!$F$15</f>
        <v>0.21</v>
      </c>
      <c r="G266" s="14" t="n">
        <f aca="false">(Inputs!$G$15+$D$5)</f>
        <v>0.228</v>
      </c>
      <c r="H266" s="14" t="n">
        <f aca="false">(Inputs!$H$15+$D$5)</f>
        <v>0.235</v>
      </c>
      <c r="I266" s="14" t="n">
        <f aca="false">(Inputs!$I$15+$D$5)</f>
        <v>0.24</v>
      </c>
    </row>
    <row r="267" customFormat="false" ht="15" hidden="false" customHeight="false" outlineLevel="0" collapsed="false">
      <c r="B267" s="9" t="s">
        <v>217</v>
      </c>
      <c r="C267" s="20" t="s">
        <v>78</v>
      </c>
      <c r="D267" s="15" t="n">
        <f aca="false">D256*D266</f>
        <v>103.35</v>
      </c>
      <c r="E267" s="15" t="n">
        <f aca="false">E256*E266</f>
        <v>118.755</v>
      </c>
      <c r="F267" s="15" t="n">
        <f aca="false">F256*F266</f>
        <v>134.4</v>
      </c>
      <c r="G267" s="15" t="n">
        <f aca="false">G256*G266</f>
        <v>158.54208</v>
      </c>
      <c r="H267" s="15" t="n">
        <f aca="false">H256*H266</f>
        <v>178.3820046</v>
      </c>
      <c r="I267" s="15" t="n">
        <f aca="false">I256*I266</f>
        <v>196.97016855168</v>
      </c>
    </row>
    <row r="268" customFormat="false" ht="15" hidden="false" customHeight="false" outlineLevel="0" collapsed="false">
      <c r="B268" s="9" t="s">
        <v>40</v>
      </c>
      <c r="C268" s="20" t="s">
        <v>206</v>
      </c>
      <c r="D268" s="14" t="n">
        <f aca="false">Inputs!$D$16</f>
        <v>0.23</v>
      </c>
      <c r="E268" s="14" t="n">
        <f aca="false">Inputs!$E$16</f>
        <v>0.235</v>
      </c>
      <c r="F268" s="14" t="n">
        <f aca="false">Inputs!$F$16</f>
        <v>0.24</v>
      </c>
      <c r="G268" s="14" t="n">
        <f aca="false">Inputs!$G$16</f>
        <v>0.243</v>
      </c>
      <c r="H268" s="14" t="n">
        <f aca="false">Inputs!$H$16</f>
        <v>0.246</v>
      </c>
      <c r="I268" s="14" t="n">
        <f aca="false">Inputs!$I$16</f>
        <v>0.248</v>
      </c>
    </row>
    <row r="269" customFormat="false" ht="15" hidden="false" customHeight="false" outlineLevel="0" collapsed="false">
      <c r="B269" s="9" t="s">
        <v>218</v>
      </c>
      <c r="C269" s="20" t="s">
        <v>78</v>
      </c>
      <c r="D269" s="15" t="n">
        <f aca="false">D260*D268</f>
        <v>87.4</v>
      </c>
      <c r="E269" s="15" t="n">
        <f aca="false">E260*E268</f>
        <v>96.35</v>
      </c>
      <c r="F269" s="15" t="n">
        <f aca="false">F260*F268</f>
        <v>105.6</v>
      </c>
      <c r="G269" s="15" t="n">
        <f aca="false">G260*G268</f>
        <v>114.532704</v>
      </c>
      <c r="H269" s="15" t="n">
        <f aca="false">H260*H268</f>
        <v>124.7992176288</v>
      </c>
      <c r="I269" s="15" t="n">
        <f aca="false">I260*I268</f>
        <v>135.419732511789</v>
      </c>
    </row>
    <row r="270" customFormat="false" ht="15" hidden="false" customHeight="false" outlineLevel="0" collapsed="false">
      <c r="B270" s="9" t="s">
        <v>219</v>
      </c>
      <c r="C270" s="20" t="s">
        <v>78</v>
      </c>
      <c r="D270" s="15" t="n">
        <f aca="false">D265+D267+D269</f>
        <v>316.59</v>
      </c>
      <c r="E270" s="15" t="n">
        <f aca="false">E265+E267+E269</f>
        <v>351.815</v>
      </c>
      <c r="F270" s="15" t="n">
        <f aca="false">F265+F267+F269</f>
        <v>385.6</v>
      </c>
      <c r="G270" s="15" t="n">
        <f aca="false">G265+G267+G269</f>
        <v>426.126144</v>
      </c>
      <c r="H270" s="15" t="n">
        <f aca="false">H265+H267+H269</f>
        <v>467.2411491408</v>
      </c>
      <c r="I270" s="15" t="n">
        <f aca="false">I265+I267+I269</f>
        <v>508.959397402509</v>
      </c>
    </row>
    <row r="271" customFormat="false" ht="15" hidden="false" customHeight="false" outlineLevel="0" collapsed="false">
      <c r="B271" s="9" t="s">
        <v>41</v>
      </c>
      <c r="C271" s="20" t="s">
        <v>78</v>
      </c>
      <c r="D271" s="15" t="n">
        <f aca="false">Inputs!$D$17</f>
        <v>44</v>
      </c>
      <c r="E271" s="15" t="n">
        <f aca="false">Inputs!$E$17</f>
        <v>46</v>
      </c>
      <c r="F271" s="15" t="n">
        <f aca="false">Inputs!$F$17</f>
        <v>48</v>
      </c>
      <c r="G271" s="15" t="n">
        <f aca="false">Inputs!$G$17</f>
        <v>50</v>
      </c>
      <c r="H271" s="15" t="n">
        <f aca="false">Inputs!$H$17</f>
        <v>52</v>
      </c>
      <c r="I271" s="15" t="n">
        <f aca="false">Inputs!$I$17</f>
        <v>54</v>
      </c>
    </row>
    <row r="272" customFormat="false" ht="15" hidden="false" customHeight="false" outlineLevel="0" collapsed="false">
      <c r="B272" s="26" t="s">
        <v>220</v>
      </c>
      <c r="C272" s="20" t="s">
        <v>78</v>
      </c>
      <c r="D272" s="27" t="n">
        <f aca="false">D270-D271</f>
        <v>272.59</v>
      </c>
      <c r="E272" s="27" t="n">
        <f aca="false">E270-E271</f>
        <v>305.815</v>
      </c>
      <c r="F272" s="27" t="n">
        <f aca="false">F270-F271</f>
        <v>337.6</v>
      </c>
      <c r="G272" s="27" t="n">
        <f aca="false">G270-G271</f>
        <v>376.126144</v>
      </c>
      <c r="H272" s="27" t="n">
        <f aca="false">H270-H271</f>
        <v>415.2411491408</v>
      </c>
      <c r="I272" s="27" t="n">
        <f aca="false">I270-I271</f>
        <v>454.959397402509</v>
      </c>
    </row>
    <row r="273" customFormat="false" ht="15" hidden="false" customHeight="false" outlineLevel="0" collapsed="false">
      <c r="B273" s="9" t="s">
        <v>221</v>
      </c>
      <c r="C273" s="20" t="s">
        <v>206</v>
      </c>
      <c r="D273" s="14" t="n">
        <f aca="false">D272/D261</f>
        <v>0.139789743589744</v>
      </c>
      <c r="E273" s="14" t="n">
        <f aca="false">E272/E261</f>
        <v>0.147026442307692</v>
      </c>
      <c r="F273" s="14" t="n">
        <f aca="false">F272/F261</f>
        <v>0.153454545454545</v>
      </c>
      <c r="G273" s="14" t="n">
        <f aca="false">G272/G261</f>
        <v>0.161693456362567</v>
      </c>
      <c r="H273" s="14" t="n">
        <f aca="false">H272/H261</f>
        <v>0.167929630228072</v>
      </c>
      <c r="I273" s="14" t="n">
        <f aca="false">I272/I261</f>
        <v>0.173122186014344</v>
      </c>
    </row>
    <row r="274" customFormat="false" ht="15" hidden="false" customHeight="false" outlineLevel="0" collapsed="false">
      <c r="B274" s="9" t="s">
        <v>222</v>
      </c>
      <c r="C274" s="20" t="s">
        <v>78</v>
      </c>
      <c r="D274" s="15" t="n">
        <f aca="false">D261*Inputs!$D$80</f>
        <v>54.6</v>
      </c>
      <c r="E274" s="15" t="n">
        <f aca="false">E261*Inputs!$D$80</f>
        <v>58.24</v>
      </c>
      <c r="F274" s="15" t="n">
        <f aca="false">F261*Inputs!$D$80</f>
        <v>61.6</v>
      </c>
      <c r="G274" s="15" t="n">
        <f aca="false">G261*Inputs!$D$80</f>
        <v>65.132704</v>
      </c>
      <c r="H274" s="15" t="n">
        <f aca="false">H261*Inputs!$D$80</f>
        <v>69.2358588544</v>
      </c>
      <c r="I274" s="15" t="n">
        <f aca="false">I261*Inputs!$D$80</f>
        <v>73.5830769039318</v>
      </c>
    </row>
    <row r="275" customFormat="false" ht="15" hidden="false" customHeight="false" outlineLevel="0" collapsed="false">
      <c r="B275" s="9" t="s">
        <v>223</v>
      </c>
      <c r="C275" s="20" t="s">
        <v>78</v>
      </c>
      <c r="D275" s="15" t="n">
        <f aca="false">D272+D274</f>
        <v>327.19</v>
      </c>
      <c r="E275" s="15" t="n">
        <f aca="false">E272+E274</f>
        <v>364.055</v>
      </c>
      <c r="F275" s="15" t="n">
        <f aca="false">F272+F274</f>
        <v>399.2</v>
      </c>
      <c r="G275" s="15" t="n">
        <f aca="false">G272+G274</f>
        <v>441.258848</v>
      </c>
      <c r="H275" s="15" t="n">
        <f aca="false">H272+H274</f>
        <v>484.4770079952</v>
      </c>
      <c r="I275" s="15" t="n">
        <f aca="false">I272+I274</f>
        <v>528.542474306441</v>
      </c>
    </row>
    <row r="276" customFormat="false" ht="15" hidden="false" customHeight="false" outlineLevel="0" collapsed="false">
      <c r="B276" s="9" t="s">
        <v>42</v>
      </c>
      <c r="C276" s="20" t="s">
        <v>78</v>
      </c>
      <c r="D276" s="15" t="n">
        <f aca="false">Inputs!$D$18</f>
        <v>38</v>
      </c>
      <c r="E276" s="15" t="n">
        <f aca="false">Inputs!$E$18</f>
        <v>38</v>
      </c>
      <c r="F276" s="15" t="n">
        <f aca="false">Inputs!$F$18</f>
        <v>38</v>
      </c>
      <c r="G276" s="15" t="n">
        <f aca="false">Inputs!$G$18</f>
        <v>38</v>
      </c>
      <c r="H276" s="15" t="n">
        <f aca="false">Inputs!$H$18</f>
        <v>36</v>
      </c>
      <c r="I276" s="15" t="n">
        <f aca="false">Inputs!$I$18</f>
        <v>34</v>
      </c>
    </row>
    <row r="277" customFormat="false" ht="15" hidden="false" customHeight="false" outlineLevel="0" collapsed="false">
      <c r="B277" s="9" t="s">
        <v>43</v>
      </c>
      <c r="C277" s="20" t="s">
        <v>78</v>
      </c>
      <c r="D277" s="15" t="n">
        <f aca="false">Inputs!$D$19</f>
        <v>0</v>
      </c>
      <c r="E277" s="15" t="n">
        <f aca="false">Inputs!$E$19</f>
        <v>15</v>
      </c>
      <c r="F277" s="15" t="n">
        <f aca="false">Inputs!$F$19</f>
        <v>22</v>
      </c>
      <c r="G277" s="15" t="n">
        <f aca="false">Inputs!$G$19</f>
        <v>12</v>
      </c>
      <c r="H277" s="15" t="n">
        <f aca="false">Inputs!$H$19</f>
        <v>0</v>
      </c>
      <c r="I277" s="15" t="n">
        <f aca="false">Inputs!$I$19</f>
        <v>0</v>
      </c>
    </row>
    <row r="278" customFormat="false" ht="15" hidden="false" customHeight="false" outlineLevel="0" collapsed="false">
      <c r="B278" s="9" t="s">
        <v>224</v>
      </c>
      <c r="C278" s="20" t="s">
        <v>78</v>
      </c>
      <c r="D278" s="15" t="n">
        <f aca="false">D272-D276-D277</f>
        <v>234.59</v>
      </c>
      <c r="E278" s="15" t="n">
        <f aca="false">E272-E276-E277</f>
        <v>252.815</v>
      </c>
      <c r="F278" s="15" t="n">
        <f aca="false">F272-F276-F277</f>
        <v>277.6</v>
      </c>
      <c r="G278" s="15" t="n">
        <f aca="false">G272-G276-G277</f>
        <v>326.126144</v>
      </c>
      <c r="H278" s="15" t="n">
        <f aca="false">H272-H276-H277</f>
        <v>379.2411491408</v>
      </c>
      <c r="I278" s="15" t="n">
        <f aca="false">I272-I276-I277</f>
        <v>420.959397402509</v>
      </c>
    </row>
    <row r="279" customFormat="false" ht="15" hidden="false" customHeight="false" outlineLevel="0" collapsed="false">
      <c r="B279" s="18" t="s">
        <v>225</v>
      </c>
      <c r="C279" s="19"/>
      <c r="D279" s="19"/>
      <c r="E279" s="19"/>
      <c r="F279" s="19"/>
      <c r="G279" s="19"/>
      <c r="H279" s="19"/>
      <c r="I279" s="19"/>
    </row>
    <row r="280" customFormat="false" ht="15" hidden="false" customHeight="false" outlineLevel="0" collapsed="false">
      <c r="B280" s="9" t="s">
        <v>226</v>
      </c>
      <c r="C280" s="20" t="s">
        <v>78</v>
      </c>
      <c r="D280" s="15" t="n">
        <f aca="false">Inputs!$D$20</f>
        <v>58</v>
      </c>
      <c r="E280" s="15" t="n">
        <f aca="false">Inputs!$E$20</f>
        <v>55</v>
      </c>
      <c r="F280" s="15" t="n">
        <f aca="false">Inputs!$F$20</f>
        <v>52</v>
      </c>
      <c r="G280" s="15" t="n">
        <f aca="false">F303*Inputs!$D$83</f>
        <v>55</v>
      </c>
      <c r="H280" s="15" t="n">
        <f aca="false">G303*Inputs!$D$83</f>
        <v>50.037389056</v>
      </c>
      <c r="I280" s="15" t="n">
        <f aca="false">H303*Inputs!$D$83</f>
        <v>43.3904573448952</v>
      </c>
    </row>
    <row r="281" customFormat="false" ht="15" hidden="false" customHeight="false" outlineLevel="0" collapsed="false">
      <c r="B281" s="9" t="s">
        <v>227</v>
      </c>
      <c r="C281" s="20" t="s">
        <v>78</v>
      </c>
      <c r="D281" s="15" t="n">
        <f aca="false">D278-D280</f>
        <v>176.59</v>
      </c>
      <c r="E281" s="15" t="n">
        <f aca="false">E278-E280</f>
        <v>197.815</v>
      </c>
      <c r="F281" s="15" t="n">
        <f aca="false">F278-F280</f>
        <v>225.6</v>
      </c>
      <c r="G281" s="15" t="n">
        <f aca="false">G278-G280</f>
        <v>271.126144</v>
      </c>
      <c r="H281" s="15" t="n">
        <f aca="false">H278-H280</f>
        <v>329.2037600848</v>
      </c>
      <c r="I281" s="15" t="n">
        <f aca="false">I278-I280</f>
        <v>377.568940057614</v>
      </c>
    </row>
    <row r="282" customFormat="false" ht="15" hidden="false" customHeight="false" outlineLevel="0" collapsed="false">
      <c r="B282" s="9" t="s">
        <v>228</v>
      </c>
      <c r="C282" s="20" t="s">
        <v>78</v>
      </c>
      <c r="D282" s="15" t="n">
        <f aca="false">D281*Inputs!$D$79</f>
        <v>40.6157</v>
      </c>
      <c r="E282" s="15" t="n">
        <f aca="false">E281*Inputs!$D$79</f>
        <v>45.49745</v>
      </c>
      <c r="F282" s="15" t="n">
        <f aca="false">F281*Inputs!$D$79</f>
        <v>51.888</v>
      </c>
      <c r="G282" s="15" t="n">
        <f aca="false">G281*Inputs!$D$79</f>
        <v>62.35901312</v>
      </c>
      <c r="H282" s="15" t="n">
        <f aca="false">H281*Inputs!$D$79</f>
        <v>75.716864819504</v>
      </c>
      <c r="I282" s="15" t="n">
        <f aca="false">I281*Inputs!$D$79</f>
        <v>86.8408562132513</v>
      </c>
    </row>
    <row r="283" customFormat="false" ht="15" hidden="false" customHeight="false" outlineLevel="0" collapsed="false">
      <c r="B283" s="9" t="s">
        <v>229</v>
      </c>
      <c r="C283" s="20" t="s">
        <v>78</v>
      </c>
      <c r="D283" s="15" t="n">
        <f aca="false">D281-D282</f>
        <v>135.9743</v>
      </c>
      <c r="E283" s="15" t="n">
        <f aca="false">E281-E282</f>
        <v>152.31755</v>
      </c>
      <c r="F283" s="15" t="n">
        <f aca="false">F281-F282</f>
        <v>173.712</v>
      </c>
      <c r="G283" s="15" t="n">
        <f aca="false">G281-G282</f>
        <v>208.76713088</v>
      </c>
      <c r="H283" s="15" t="n">
        <f aca="false">H281-H282</f>
        <v>253.486895265296</v>
      </c>
      <c r="I283" s="15" t="n">
        <f aca="false">I281-I282</f>
        <v>290.728083844363</v>
      </c>
    </row>
    <row r="284" customFormat="false" ht="15" hidden="false" customHeight="false" outlineLevel="0" collapsed="false">
      <c r="B284" s="9" t="s">
        <v>230</v>
      </c>
      <c r="C284" s="20" t="s">
        <v>231</v>
      </c>
      <c r="D284" s="16" t="n">
        <f aca="false">Inputs!$D$21</f>
        <v>57</v>
      </c>
      <c r="E284" s="16" t="n">
        <f aca="false">Inputs!$E$21</f>
        <v>56.3</v>
      </c>
      <c r="F284" s="16" t="n">
        <f aca="false">Inputs!$F$21</f>
        <v>55.6</v>
      </c>
      <c r="G284" s="16" t="n">
        <f aca="false">Inputs!$G$21</f>
        <v>55</v>
      </c>
      <c r="H284" s="16" t="n">
        <f aca="false">Inputs!$H$21</f>
        <v>54.4</v>
      </c>
      <c r="I284" s="16" t="n">
        <f aca="false">Inputs!$I$21</f>
        <v>53.8</v>
      </c>
    </row>
    <row r="285" customFormat="false" ht="15" hidden="false" customHeight="false" outlineLevel="0" collapsed="false">
      <c r="B285" s="26" t="s">
        <v>232</v>
      </c>
      <c r="C285" s="20" t="s">
        <v>61</v>
      </c>
      <c r="D285" s="28" t="n">
        <f aca="false">D283/D284</f>
        <v>2.38551403508772</v>
      </c>
      <c r="E285" s="28" t="n">
        <f aca="false">E283/E284</f>
        <v>2.70546269982238</v>
      </c>
      <c r="F285" s="28" t="n">
        <f aca="false">F283/F284</f>
        <v>3.12431654676259</v>
      </c>
      <c r="G285" s="28" t="n">
        <f aca="false">G283/G284</f>
        <v>3.795766016</v>
      </c>
      <c r="H285" s="28" t="n">
        <f aca="false">H283/H284</f>
        <v>4.65968557472971</v>
      </c>
      <c r="I285" s="28" t="n">
        <f aca="false">I283/I284</f>
        <v>5.40386772944913</v>
      </c>
    </row>
    <row r="286" customFormat="false" ht="15" hidden="false" customHeight="false" outlineLevel="0" collapsed="false">
      <c r="B286" s="18" t="s">
        <v>233</v>
      </c>
      <c r="C286" s="19"/>
      <c r="D286" s="19"/>
      <c r="E286" s="19"/>
      <c r="F286" s="19"/>
      <c r="G286" s="19"/>
      <c r="H286" s="19"/>
      <c r="I286" s="19"/>
    </row>
    <row r="287" customFormat="false" ht="15" hidden="false" customHeight="false" outlineLevel="0" collapsed="false">
      <c r="B287" s="9" t="s">
        <v>234</v>
      </c>
      <c r="C287" s="20" t="s">
        <v>61</v>
      </c>
      <c r="D287" s="17" t="n">
        <f aca="false">D276*(1-Inputs!$D$79)/D284</f>
        <v>0.513333333333333</v>
      </c>
      <c r="E287" s="17" t="n">
        <f aca="false">E276*(1-Inputs!$D$79)/E284</f>
        <v>0.519715808170515</v>
      </c>
      <c r="F287" s="17" t="n">
        <f aca="false">F276*(1-Inputs!$D$79)/F284</f>
        <v>0.526258992805755</v>
      </c>
      <c r="G287" s="17" t="n">
        <f aca="false">G276*(1-Inputs!$D$79)/G284</f>
        <v>0.532</v>
      </c>
      <c r="H287" s="17" t="n">
        <f aca="false">H276*(1-Inputs!$D$79)/H284</f>
        <v>0.509558823529412</v>
      </c>
      <c r="I287" s="17" t="n">
        <f aca="false">I276*(1-Inputs!$D$79)/I284</f>
        <v>0.486617100371747</v>
      </c>
    </row>
    <row r="288" customFormat="false" ht="15" hidden="false" customHeight="false" outlineLevel="0" collapsed="false">
      <c r="B288" s="9" t="s">
        <v>235</v>
      </c>
      <c r="C288" s="20" t="s">
        <v>61</v>
      </c>
      <c r="D288" s="17" t="n">
        <f aca="false">D277*(1-Inputs!$D$79)/D284</f>
        <v>0</v>
      </c>
      <c r="E288" s="17" t="n">
        <f aca="false">E277*(1-Inputs!$D$79)/E284</f>
        <v>0.205150976909414</v>
      </c>
      <c r="F288" s="17" t="n">
        <f aca="false">F277*(1-Inputs!$D$79)/F284</f>
        <v>0.304676258992806</v>
      </c>
      <c r="G288" s="17" t="n">
        <f aca="false">G277*(1-Inputs!$D$79)/G284</f>
        <v>0.168</v>
      </c>
      <c r="H288" s="17" t="n">
        <f aca="false">H277*(1-Inputs!$D$79)/H284</f>
        <v>0</v>
      </c>
      <c r="I288" s="17" t="n">
        <f aca="false">I277*(1-Inputs!$D$79)/I284</f>
        <v>0</v>
      </c>
    </row>
    <row r="289" customFormat="false" ht="15" hidden="false" customHeight="false" outlineLevel="0" collapsed="false">
      <c r="B289" s="9" t="s">
        <v>236</v>
      </c>
      <c r="C289" s="20" t="s">
        <v>78</v>
      </c>
      <c r="D289" s="15" t="n">
        <f aca="false">(D276+D277)*(1-Inputs!$D$79)</f>
        <v>29.26</v>
      </c>
      <c r="E289" s="15" t="n">
        <f aca="false">(E276+E277)*(1-Inputs!$D$79)</f>
        <v>40.81</v>
      </c>
      <c r="F289" s="15" t="n">
        <f aca="false">(F276+F277)*(1-Inputs!$D$79)</f>
        <v>46.2</v>
      </c>
      <c r="G289" s="15" t="n">
        <f aca="false">(G276+G277)*(1-Inputs!$D$79)</f>
        <v>38.5</v>
      </c>
      <c r="H289" s="15" t="n">
        <f aca="false">(H276+H277)*(1-Inputs!$D$79)</f>
        <v>27.72</v>
      </c>
      <c r="I289" s="15" t="n">
        <f aca="false">(I276+I277)*(1-Inputs!$D$79)</f>
        <v>26.18</v>
      </c>
    </row>
    <row r="290" customFormat="false" ht="15" hidden="false" customHeight="false" outlineLevel="0" collapsed="false">
      <c r="B290" s="9" t="s">
        <v>237</v>
      </c>
      <c r="C290" s="20" t="s">
        <v>78</v>
      </c>
      <c r="D290" s="15" t="n">
        <f aca="false">D283+D289</f>
        <v>165.2343</v>
      </c>
      <c r="E290" s="15" t="n">
        <f aca="false">E283+E289</f>
        <v>193.12755</v>
      </c>
      <c r="F290" s="15" t="n">
        <f aca="false">F283+F289</f>
        <v>219.912</v>
      </c>
      <c r="G290" s="15" t="n">
        <f aca="false">G283+G289</f>
        <v>247.26713088</v>
      </c>
      <c r="H290" s="15" t="n">
        <f aca="false">H283+H289</f>
        <v>281.206895265296</v>
      </c>
      <c r="I290" s="15" t="n">
        <f aca="false">I283+I289</f>
        <v>316.908083844363</v>
      </c>
    </row>
    <row r="291" customFormat="false" ht="15" hidden="false" customHeight="false" outlineLevel="0" collapsed="false">
      <c r="B291" s="26" t="s">
        <v>238</v>
      </c>
      <c r="C291" s="20" t="s">
        <v>61</v>
      </c>
      <c r="D291" s="28" t="n">
        <f aca="false">D290/D284</f>
        <v>2.89884736842105</v>
      </c>
      <c r="E291" s="28" t="n">
        <f aca="false">E290/E284</f>
        <v>3.43032948490231</v>
      </c>
      <c r="F291" s="28" t="n">
        <f aca="false">F290/F284</f>
        <v>3.95525179856115</v>
      </c>
      <c r="G291" s="28" t="n">
        <f aca="false">G290/G284</f>
        <v>4.495766016</v>
      </c>
      <c r="H291" s="28" t="n">
        <f aca="false">H290/H284</f>
        <v>5.16924439825912</v>
      </c>
      <c r="I291" s="28" t="n">
        <f aca="false">I290/I284</f>
        <v>5.89048482982087</v>
      </c>
    </row>
    <row r="292" customFormat="false" ht="15" hidden="false" customHeight="false" outlineLevel="0" collapsed="false">
      <c r="B292" s="9" t="s">
        <v>239</v>
      </c>
      <c r="C292" s="20" t="s">
        <v>206</v>
      </c>
      <c r="D292" s="9"/>
      <c r="E292" s="14" t="n">
        <f aca="false">E291/D291-1</f>
        <v>0.183342566521791</v>
      </c>
      <c r="F292" s="14" t="n">
        <f aca="false">F291/E291-1</f>
        <v>0.153023875977264</v>
      </c>
      <c r="G292" s="14" t="n">
        <f aca="false">G291/F291-1</f>
        <v>0.136657346982429</v>
      </c>
      <c r="H292" s="14" t="n">
        <f aca="false">H291/G291-1</f>
        <v>0.149802809991061</v>
      </c>
      <c r="I292" s="14" t="n">
        <f aca="false">I291/H291-1</f>
        <v>0.139525310856777</v>
      </c>
    </row>
    <row r="293" customFormat="false" ht="15" hidden="false" customHeight="false" outlineLevel="0" collapsed="false">
      <c r="B293" s="9" t="s">
        <v>240</v>
      </c>
      <c r="C293" s="20" t="s">
        <v>206</v>
      </c>
      <c r="D293" s="14" t="n">
        <f aca="false">D291/D285-1</f>
        <v>0.215187722974121</v>
      </c>
      <c r="E293" s="14" t="n">
        <f aca="false">E291/E285-1</f>
        <v>0.267927103606906</v>
      </c>
      <c r="F293" s="14" t="n">
        <f aca="false">F291/F285-1</f>
        <v>0.265957446808511</v>
      </c>
      <c r="G293" s="14" t="n">
        <f aca="false">G291/G285-1</f>
        <v>0.184416003791947</v>
      </c>
      <c r="H293" s="14" t="n">
        <f aca="false">H291/H285-1</f>
        <v>0.10935476554316</v>
      </c>
      <c r="I293" s="14" t="n">
        <f aca="false">I291/I285-1</f>
        <v>0.0900497800343743</v>
      </c>
    </row>
    <row r="294" customFormat="false" ht="15" hidden="false" customHeight="false" outlineLevel="0" collapsed="false">
      <c r="B294" s="18" t="s">
        <v>241</v>
      </c>
      <c r="C294" s="19"/>
      <c r="D294" s="19"/>
      <c r="E294" s="19"/>
      <c r="F294" s="19"/>
      <c r="G294" s="19"/>
      <c r="H294" s="19"/>
      <c r="I294" s="19"/>
    </row>
    <row r="295" customFormat="false" ht="15" hidden="false" customHeight="false" outlineLevel="0" collapsed="false">
      <c r="B295" s="9" t="s">
        <v>242</v>
      </c>
      <c r="C295" s="20" t="s">
        <v>78</v>
      </c>
      <c r="D295" s="15" t="n">
        <f aca="false">D261*Inputs!$D$81</f>
        <v>62.4</v>
      </c>
      <c r="E295" s="15" t="n">
        <f aca="false">E261*Inputs!$D$81</f>
        <v>66.56</v>
      </c>
      <c r="F295" s="15" t="n">
        <f aca="false">F261*Inputs!$D$81</f>
        <v>70.4</v>
      </c>
      <c r="G295" s="15" t="n">
        <f aca="false">G261*Inputs!$D$81</f>
        <v>74.437376</v>
      </c>
      <c r="H295" s="15" t="n">
        <f aca="false">H261*Inputs!$D$81</f>
        <v>79.1266958336</v>
      </c>
      <c r="I295" s="15" t="n">
        <f aca="false">I261*Inputs!$D$81</f>
        <v>84.094945033065</v>
      </c>
    </row>
    <row r="296" customFormat="false" ht="15" hidden="false" customHeight="false" outlineLevel="0" collapsed="false">
      <c r="B296" s="9" t="s">
        <v>243</v>
      </c>
      <c r="C296" s="20" t="s">
        <v>78</v>
      </c>
      <c r="D296" s="15" t="n">
        <f aca="false">(D261-(Inputs!$C$5+Inputs!$C$6+Inputs!$C$7))*Inputs!$D$82</f>
        <v>24.3</v>
      </c>
      <c r="E296" s="15" t="n">
        <f aca="false">(E261-D261)*Inputs!$D$82</f>
        <v>23.4</v>
      </c>
      <c r="F296" s="15" t="n">
        <f aca="false">(F261-E261)*Inputs!$D$82</f>
        <v>21.6</v>
      </c>
      <c r="G296" s="15" t="n">
        <f aca="false">(G261-F261)*Inputs!$D$82</f>
        <v>22.71024</v>
      </c>
      <c r="H296" s="15" t="n">
        <f aca="false">(H261-G261)*Inputs!$D$82</f>
        <v>26.377424064</v>
      </c>
      <c r="I296" s="15" t="n">
        <f aca="false">(I261-H261)*Inputs!$D$82</f>
        <v>27.9464017469903</v>
      </c>
    </row>
    <row r="297" customFormat="false" ht="15" hidden="false" customHeight="false" outlineLevel="0" collapsed="false">
      <c r="B297" s="26" t="s">
        <v>244</v>
      </c>
      <c r="C297" s="20" t="s">
        <v>78</v>
      </c>
      <c r="D297" s="27" t="n">
        <f aca="false">D283+D274+D276-D295-D296</f>
        <v>141.8743</v>
      </c>
      <c r="E297" s="27" t="n">
        <f aca="false">E283+E274+E276-E295-E296</f>
        <v>158.59755</v>
      </c>
      <c r="F297" s="27" t="n">
        <f aca="false">F283+F274+F276-F295-F296</f>
        <v>181.312</v>
      </c>
      <c r="G297" s="27" t="n">
        <f aca="false">G283+G274+G276-G295-G296</f>
        <v>214.75221888</v>
      </c>
      <c r="H297" s="27" t="n">
        <f aca="false">H283+H274+H276-H295-H296</f>
        <v>253.218634222096</v>
      </c>
      <c r="I297" s="27" t="n">
        <f aca="false">I283+I274+I276-I295-I296</f>
        <v>286.26981396824</v>
      </c>
    </row>
    <row r="298" customFormat="false" ht="15" hidden="false" customHeight="false" outlineLevel="0" collapsed="false">
      <c r="B298" s="9" t="s">
        <v>245</v>
      </c>
      <c r="C298" s="20" t="s">
        <v>206</v>
      </c>
      <c r="D298" s="29" t="n">
        <f aca="false">D297/D290</f>
        <v>0.85862499493144</v>
      </c>
      <c r="E298" s="29" t="n">
        <f aca="false">E297/E290</f>
        <v>0.821206244267066</v>
      </c>
      <c r="F298" s="29" t="n">
        <f aca="false">F297/F290</f>
        <v>0.824475244643312</v>
      </c>
      <c r="G298" s="29" t="n">
        <f aca="false">G297/G290</f>
        <v>0.868502894483862</v>
      </c>
      <c r="H298" s="29" t="n">
        <f aca="false">H297/H290</f>
        <v>0.900470929004798</v>
      </c>
      <c r="I298" s="29" t="n">
        <f aca="false">I297/I290</f>
        <v>0.90332127377612</v>
      </c>
    </row>
    <row r="299" customFormat="false" ht="15" hidden="false" customHeight="false" outlineLevel="0" collapsed="false">
      <c r="B299" s="9" t="s">
        <v>246</v>
      </c>
      <c r="C299" s="20" t="s">
        <v>61</v>
      </c>
      <c r="D299" s="17" t="n">
        <f aca="false">D297/D284</f>
        <v>2.48902280701754</v>
      </c>
      <c r="E299" s="17" t="n">
        <f aca="false">E297/E284</f>
        <v>2.81700799289521</v>
      </c>
      <c r="F299" s="17" t="n">
        <f aca="false">F297/F284</f>
        <v>3.2610071942446</v>
      </c>
      <c r="G299" s="17" t="n">
        <f aca="false">G297/G284</f>
        <v>3.90458579781818</v>
      </c>
      <c r="H299" s="17" t="n">
        <f aca="false">H297/H284</f>
        <v>4.65475430555324</v>
      </c>
      <c r="I299" s="17" t="n">
        <f aca="false">I297/I284</f>
        <v>5.32100025963271</v>
      </c>
    </row>
    <row r="300" customFormat="false" ht="15" hidden="false" customHeight="false" outlineLevel="0" collapsed="false">
      <c r="B300" s="9" t="s">
        <v>247</v>
      </c>
      <c r="C300" s="20" t="s">
        <v>61</v>
      </c>
      <c r="D300" s="17" t="n">
        <f aca="false">Inputs!$D$22</f>
        <v>0.9</v>
      </c>
      <c r="E300" s="17" t="n">
        <f aca="false">Inputs!$E$22</f>
        <v>0.96</v>
      </c>
      <c r="F300" s="17" t="n">
        <f aca="false">Inputs!$F$22</f>
        <v>1.02</v>
      </c>
      <c r="G300" s="17" t="n">
        <f aca="false">Inputs!$G$22</f>
        <v>1.1</v>
      </c>
      <c r="H300" s="17" t="n">
        <f aca="false">Inputs!$H$22</f>
        <v>1.2</v>
      </c>
      <c r="I300" s="17" t="n">
        <f aca="false">Inputs!$I$22</f>
        <v>1.3</v>
      </c>
    </row>
    <row r="301" customFormat="false" ht="15" hidden="false" customHeight="false" outlineLevel="0" collapsed="false">
      <c r="B301" s="9" t="s">
        <v>248</v>
      </c>
      <c r="C301" s="20" t="s">
        <v>78</v>
      </c>
      <c r="D301" s="15" t="n">
        <f aca="false">D300*D284</f>
        <v>51.3</v>
      </c>
      <c r="E301" s="15" t="n">
        <f aca="false">E300*E284</f>
        <v>54.048</v>
      </c>
      <c r="F301" s="15" t="n">
        <f aca="false">F300*F284</f>
        <v>56.712</v>
      </c>
      <c r="G301" s="15" t="n">
        <f aca="false">G300*G284</f>
        <v>60.5</v>
      </c>
      <c r="H301" s="15" t="n">
        <f aca="false">H300*H284</f>
        <v>65.28</v>
      </c>
      <c r="I301" s="15" t="n">
        <f aca="false">I300*I284</f>
        <v>69.94</v>
      </c>
    </row>
    <row r="302" customFormat="false" ht="15" hidden="false" customHeight="false" outlineLevel="0" collapsed="false">
      <c r="B302" s="9" t="s">
        <v>48</v>
      </c>
      <c r="C302" s="20" t="s">
        <v>78</v>
      </c>
      <c r="D302" s="9"/>
      <c r="E302" s="9"/>
      <c r="F302" s="9"/>
      <c r="G302" s="15" t="n">
        <f aca="false">Inputs!$G$24</f>
        <v>55</v>
      </c>
      <c r="H302" s="15" t="n">
        <f aca="false">Inputs!$H$24</f>
        <v>55</v>
      </c>
      <c r="I302" s="15" t="n">
        <f aca="false">Inputs!$I$24</f>
        <v>55</v>
      </c>
    </row>
    <row r="303" customFormat="false" ht="15" hidden="false" customHeight="false" outlineLevel="0" collapsed="false">
      <c r="B303" s="26" t="s">
        <v>249</v>
      </c>
      <c r="C303" s="20" t="s">
        <v>78</v>
      </c>
      <c r="D303" s="27" t="n">
        <f aca="false">Inputs!$D$23</f>
        <v>1210</v>
      </c>
      <c r="E303" s="27" t="n">
        <f aca="false">Inputs!$E$23</f>
        <v>1160</v>
      </c>
      <c r="F303" s="27" t="n">
        <f aca="false">Inputs!$F$23</f>
        <v>1100</v>
      </c>
      <c r="G303" s="27" t="n">
        <f aca="false">F303-G297+G301+G302</f>
        <v>1000.74778112</v>
      </c>
      <c r="H303" s="27" t="n">
        <f aca="false">G303-H297+H301+H302</f>
        <v>867.809146897904</v>
      </c>
      <c r="I303" s="27" t="n">
        <f aca="false">H303-I297+I301+I302</f>
        <v>706.479332929665</v>
      </c>
    </row>
    <row r="304" customFormat="false" ht="15" hidden="false" customHeight="false" outlineLevel="0" collapsed="false">
      <c r="B304" s="9" t="s">
        <v>250</v>
      </c>
      <c r="C304" s="20" t="s">
        <v>251</v>
      </c>
      <c r="D304" s="30" t="n">
        <f aca="false">D303/D275</f>
        <v>3.69815703413918</v>
      </c>
      <c r="E304" s="30" t="n">
        <f aca="false">E303/E275</f>
        <v>3.1863317355894</v>
      </c>
      <c r="F304" s="30" t="n">
        <f aca="false">F303/F275</f>
        <v>2.75551102204409</v>
      </c>
      <c r="G304" s="30" t="n">
        <f aca="false">G303/G275</f>
        <v>2.26793816295328</v>
      </c>
      <c r="H304" s="30" t="n">
        <f aca="false">H303/H275</f>
        <v>1.79122875301959</v>
      </c>
      <c r="I304" s="30" t="n">
        <f aca="false">I303/I275</f>
        <v>1.33665574154038</v>
      </c>
    </row>
    <row r="305" customFormat="false" ht="15" hidden="false" customHeight="false" outlineLevel="0" collapsed="false">
      <c r="B305" s="9" t="s">
        <v>252</v>
      </c>
      <c r="C305" s="20" t="s">
        <v>78</v>
      </c>
      <c r="D305" s="15" t="n">
        <f aca="false">D278*(1-Inputs!$D$79)+D274+D276-D295-D296</f>
        <v>186.5343</v>
      </c>
      <c r="E305" s="15" t="n">
        <f aca="false">E278*(1-Inputs!$D$79)+E274+E276-E295-E296</f>
        <v>200.94755</v>
      </c>
      <c r="F305" s="15" t="n">
        <f aca="false">F278*(1-Inputs!$D$79)+F274+F276-F295-F296</f>
        <v>221.352</v>
      </c>
      <c r="G305" s="15" t="n">
        <f aca="false">G278*(1-Inputs!$D$79)+G274+G276-G295-G296</f>
        <v>257.10221888</v>
      </c>
      <c r="H305" s="15" t="n">
        <f aca="false">H278*(1-Inputs!$D$79)+H274+H276-H295-H296</f>
        <v>291.747423795216</v>
      </c>
      <c r="I305" s="15" t="n">
        <f aca="false">I278*(1-Inputs!$D$79)+I274+I276-I295-I296</f>
        <v>319.680466123809</v>
      </c>
    </row>
    <row r="306" customFormat="false" ht="15" hidden="false" customHeight="false" outlineLevel="0" collapsed="false">
      <c r="B306" s="18" t="s">
        <v>253</v>
      </c>
      <c r="C306" s="19"/>
      <c r="D306" s="19"/>
      <c r="E306" s="19"/>
      <c r="F306" s="19"/>
      <c r="G306" s="19"/>
      <c r="H306" s="19"/>
      <c r="I306" s="19"/>
    </row>
    <row r="307" customFormat="false" ht="15" hidden="false" customHeight="false" outlineLevel="0" collapsed="false">
      <c r="B307" s="9" t="s">
        <v>254</v>
      </c>
      <c r="C307" s="20" t="s">
        <v>206</v>
      </c>
      <c r="D307" s="9"/>
      <c r="E307" s="14" t="n">
        <f aca="false">(E265-D265)/(E252-D252)</f>
        <v>0.241555555555556</v>
      </c>
      <c r="F307" s="14" t="n">
        <f aca="false">(F265-E265)/(F252-E252)</f>
        <v>0.254</v>
      </c>
      <c r="G307" s="14" t="n">
        <f aca="false">(G265-F265)/(G252-F252)</f>
        <v>0.188737588652483</v>
      </c>
      <c r="H307" s="14" t="n">
        <f aca="false">(H265-G265)/(H252-G252)</f>
        <v>0.235009900990099</v>
      </c>
      <c r="I307" s="14" t="n">
        <f aca="false">(I265-H265)/(I252-H252)</f>
        <v>0.227912087912088</v>
      </c>
    </row>
    <row r="308" customFormat="false" ht="15" hidden="false" customHeight="false" outlineLevel="0" collapsed="false">
      <c r="B308" s="9" t="s">
        <v>255</v>
      </c>
      <c r="C308" s="20" t="s">
        <v>206</v>
      </c>
      <c r="D308" s="9"/>
      <c r="E308" s="14" t="n">
        <f aca="false">(E267-D267)/(E256-D256)</f>
        <v>0.280090909090909</v>
      </c>
      <c r="F308" s="14" t="n">
        <f aca="false">(F267-E267)/(F256-E256)</f>
        <v>0.284454545454545</v>
      </c>
      <c r="G308" s="14" t="n">
        <f aca="false">(G267-F267)/(G256-F256)</f>
        <v>0.436092485549133</v>
      </c>
      <c r="H308" s="14" t="n">
        <f aca="false">(H267-G267)/(H256-G256)</f>
        <v>0.311398362892224</v>
      </c>
      <c r="I308" s="14" t="n">
        <f aca="false">(I267-H267)/(I256-H256)</f>
        <v>0.301576354679803</v>
      </c>
    </row>
    <row r="309" customFormat="false" ht="15" hidden="false" customHeight="false" outlineLevel="0" collapsed="false">
      <c r="B309" s="9" t="s">
        <v>256</v>
      </c>
      <c r="C309" s="20" t="s">
        <v>206</v>
      </c>
      <c r="D309" s="9"/>
      <c r="E309" s="14" t="n">
        <f aca="false">(E269-D269)/(E260-D260)</f>
        <v>0.298333333333333</v>
      </c>
      <c r="F309" s="14" t="n">
        <f aca="false">(F269-E269)/(F260-E260)</f>
        <v>0.308333333333333</v>
      </c>
      <c r="G309" s="14" t="n">
        <f aca="false">(G269-F269)/(G260-F260)</f>
        <v>0.285134831460674</v>
      </c>
      <c r="H309" s="14" t="n">
        <f aca="false">(H269-G269)/(H260-G260)</f>
        <v>0.285292730844794</v>
      </c>
      <c r="I309" s="14" t="n">
        <f aca="false">(I269-H269)/(I260-H260)</f>
        <v>0.274195153896529</v>
      </c>
    </row>
    <row r="310" customFormat="false" ht="15" hidden="false" customHeight="false" outlineLevel="0" collapsed="false">
      <c r="B310" s="9" t="s">
        <v>257</v>
      </c>
      <c r="C310" s="20" t="s">
        <v>206</v>
      </c>
      <c r="D310" s="9"/>
      <c r="E310" s="14" t="n">
        <f aca="false">(E272-D272)/(E261-D261)</f>
        <v>0.255576923076923</v>
      </c>
      <c r="F310" s="14" t="n">
        <f aca="false">(F272-E272)/(F261-E261)</f>
        <v>0.264875</v>
      </c>
      <c r="G310" s="14" t="n">
        <f aca="false">(G272-F272)/(G261-F261)</f>
        <v>0.3053559064105</v>
      </c>
      <c r="H310" s="14" t="n">
        <f aca="false">(H272-G272)/(H261-G261)</f>
        <v>0.266921474525375</v>
      </c>
      <c r="I310" s="14" t="n">
        <f aca="false">(I272-H272)/(I261-H261)</f>
        <v>0.255821295057337</v>
      </c>
    </row>
    <row r="312" customFormat="false" ht="15" hidden="false" customHeight="false" outlineLevel="0" collapsed="false">
      <c r="B312" s="7" t="s">
        <v>419</v>
      </c>
      <c r="C312" s="8"/>
      <c r="D312" s="8" t="s">
        <v>23</v>
      </c>
      <c r="E312" s="8" t="s">
        <v>24</v>
      </c>
      <c r="F312" s="8" t="s">
        <v>25</v>
      </c>
      <c r="G312" s="8" t="s">
        <v>26</v>
      </c>
      <c r="H312" s="8" t="s">
        <v>27</v>
      </c>
      <c r="I312" s="8" t="s">
        <v>28</v>
      </c>
    </row>
    <row r="313" customFormat="false" ht="15" hidden="false" customHeight="false" outlineLevel="0" collapsed="false">
      <c r="B313" s="18" t="s">
        <v>205</v>
      </c>
      <c r="C313" s="19"/>
      <c r="D313" s="19"/>
      <c r="E313" s="19"/>
      <c r="F313" s="19"/>
      <c r="G313" s="19"/>
      <c r="H313" s="19"/>
      <c r="I313" s="19"/>
    </row>
    <row r="314" customFormat="false" ht="15" hidden="false" customHeight="false" outlineLevel="0" collapsed="false">
      <c r="B314" s="9" t="s">
        <v>32</v>
      </c>
      <c r="C314" s="20" t="s">
        <v>206</v>
      </c>
      <c r="D314" s="14" t="n">
        <f aca="false">(1+D316)/(1+D315)-1</f>
        <v>0.0103708741165327</v>
      </c>
      <c r="E314" s="14" t="n">
        <f aca="false">(1+E316)/(1+E315)-1</f>
        <v>0.0128827483196416</v>
      </c>
      <c r="F314" s="14" t="n">
        <f aca="false">(1+F316)/(1+F315)-1</f>
        <v>0.00708103855232101</v>
      </c>
      <c r="G314" s="14" t="n">
        <f aca="false">Inputs!$G$8</f>
        <v>0.01</v>
      </c>
      <c r="H314" s="14" t="n">
        <f aca="false">Inputs!$H$8</f>
        <v>0.02</v>
      </c>
      <c r="I314" s="14" t="n">
        <f aca="false">Inputs!$I$8</f>
        <v>0.025</v>
      </c>
    </row>
    <row r="315" customFormat="false" ht="15" hidden="false" customHeight="false" outlineLevel="0" collapsed="false">
      <c r="B315" s="9" t="s">
        <v>35</v>
      </c>
      <c r="C315" s="20" t="s">
        <v>206</v>
      </c>
      <c r="D315" s="14" t="n">
        <f aca="false">Inputs!$D$11</f>
        <v>0.045</v>
      </c>
      <c r="E315" s="14" t="n">
        <f aca="false">Inputs!$E$11</f>
        <v>0.03</v>
      </c>
      <c r="F315" s="14" t="n">
        <f aca="false">Inputs!$F$11</f>
        <v>0.025</v>
      </c>
      <c r="G315" s="14" t="n">
        <f aca="false">Inputs!$G$11</f>
        <v>0.025</v>
      </c>
      <c r="H315" s="14" t="n">
        <f aca="false">Inputs!$H$11</f>
        <v>0.02</v>
      </c>
      <c r="I315" s="14" t="n">
        <f aca="false">Inputs!$I$11</f>
        <v>0.02</v>
      </c>
    </row>
    <row r="316" customFormat="false" ht="15" hidden="false" customHeight="false" outlineLevel="0" collapsed="false">
      <c r="B316" s="9" t="s">
        <v>207</v>
      </c>
      <c r="C316" s="20" t="s">
        <v>206</v>
      </c>
      <c r="D316" s="14" t="n">
        <f aca="false">D317/Inputs!$C$5-1</f>
        <v>0.0558375634517767</v>
      </c>
      <c r="E316" s="14" t="n">
        <f aca="false">E317/D317-1</f>
        <v>0.0432692307692308</v>
      </c>
      <c r="F316" s="14" t="n">
        <f aca="false">F317/E317-1</f>
        <v>0.032258064516129</v>
      </c>
      <c r="G316" s="14" t="n">
        <f aca="false">(1+G314)*(1+G315)-1</f>
        <v>0.03525</v>
      </c>
      <c r="H316" s="14" t="n">
        <f aca="false">(1+H314)*(1+H315)-1</f>
        <v>0.0404</v>
      </c>
      <c r="I316" s="14" t="n">
        <f aca="false">(1+I314)*(1+I315)-1</f>
        <v>0.0454999999999999</v>
      </c>
    </row>
    <row r="317" customFormat="false" ht="15" hidden="false" customHeight="false" outlineLevel="0" collapsed="false">
      <c r="B317" s="9" t="s">
        <v>208</v>
      </c>
      <c r="C317" s="20" t="s">
        <v>78</v>
      </c>
      <c r="D317" s="15" t="n">
        <f aca="false">Inputs!$D$5</f>
        <v>1040</v>
      </c>
      <c r="E317" s="15" t="n">
        <f aca="false">Inputs!$E$5</f>
        <v>1085</v>
      </c>
      <c r="F317" s="15" t="n">
        <f aca="false">Inputs!$F$5</f>
        <v>1120</v>
      </c>
      <c r="G317" s="15" t="n">
        <f aca="false">F317*(1+G316)</f>
        <v>1159.48</v>
      </c>
      <c r="H317" s="15" t="n">
        <f aca="false">G317*(1+H316)</f>
        <v>1206.322992</v>
      </c>
      <c r="I317" s="15" t="n">
        <f aca="false">H317*(1+I316)</f>
        <v>1261.210688136</v>
      </c>
    </row>
    <row r="318" customFormat="false" ht="15" hidden="false" customHeight="false" outlineLevel="0" collapsed="false">
      <c r="B318" s="9" t="s">
        <v>33</v>
      </c>
      <c r="C318" s="20" t="s">
        <v>206</v>
      </c>
      <c r="D318" s="14" t="n">
        <f aca="false">(1+D320)/(1+D319)-1</f>
        <v>0.0661409719987125</v>
      </c>
      <c r="E318" s="14" t="n">
        <f aca="false">(1+E320)/(1+E319)-1</f>
        <v>0.0716248397142334</v>
      </c>
      <c r="F318" s="14" t="n">
        <f aca="false">(1+F320)/(1+F319)-1</f>
        <v>0.0673337502605798</v>
      </c>
      <c r="G318" s="14" t="n">
        <f aca="false">Inputs!$G$9</f>
        <v>0.06</v>
      </c>
      <c r="H318" s="14" t="n">
        <f aca="false">Inputs!$H$9</f>
        <v>0.065</v>
      </c>
      <c r="I318" s="14" t="n">
        <f aca="false">Inputs!$I$9</f>
        <v>0.06</v>
      </c>
    </row>
    <row r="319" customFormat="false" ht="15" hidden="false" customHeight="false" outlineLevel="0" collapsed="false">
      <c r="B319" s="9" t="s">
        <v>36</v>
      </c>
      <c r="C319" s="20" t="s">
        <v>206</v>
      </c>
      <c r="D319" s="14" t="n">
        <f aca="false">Inputs!$D$12</f>
        <v>0.04</v>
      </c>
      <c r="E319" s="14" t="n">
        <f aca="false">Inputs!$E$12</f>
        <v>0.03</v>
      </c>
      <c r="F319" s="14" t="n">
        <f aca="false">Inputs!$F$12</f>
        <v>0.025</v>
      </c>
      <c r="G319" s="14" t="n">
        <f aca="false">Inputs!$G$12</f>
        <v>0.025</v>
      </c>
      <c r="H319" s="14" t="n">
        <f aca="false">Inputs!$H$12</f>
        <v>0.025</v>
      </c>
      <c r="I319" s="14" t="n">
        <f aca="false">Inputs!$I$12</f>
        <v>0.02</v>
      </c>
    </row>
    <row r="320" customFormat="false" ht="15" hidden="false" customHeight="false" outlineLevel="0" collapsed="false">
      <c r="B320" s="9" t="s">
        <v>209</v>
      </c>
      <c r="C320" s="20" t="s">
        <v>206</v>
      </c>
      <c r="D320" s="14" t="n">
        <f aca="false">D321/Inputs!$C$6-1</f>
        <v>0.108786610878661</v>
      </c>
      <c r="E320" s="14" t="n">
        <f aca="false">E321/D321-1</f>
        <v>0.10377358490566</v>
      </c>
      <c r="F320" s="14" t="n">
        <f aca="false">F321/E321-1</f>
        <v>0.0940170940170941</v>
      </c>
      <c r="G320" s="14" t="n">
        <f aca="false">(1+G318)*(1+G319)-1</f>
        <v>0.0865</v>
      </c>
      <c r="H320" s="14" t="n">
        <f aca="false">(1+H318)*(1+H319)-1</f>
        <v>0.0916249999999999</v>
      </c>
      <c r="I320" s="14" t="n">
        <f aca="false">(1+I318)*(1+I319)-1</f>
        <v>0.0812000000000002</v>
      </c>
    </row>
    <row r="321" customFormat="false" ht="15" hidden="false" customHeight="false" outlineLevel="0" collapsed="false">
      <c r="B321" s="9" t="s">
        <v>210</v>
      </c>
      <c r="C321" s="20" t="s">
        <v>78</v>
      </c>
      <c r="D321" s="15" t="n">
        <f aca="false">Inputs!$D$6</f>
        <v>530</v>
      </c>
      <c r="E321" s="15" t="n">
        <f aca="false">Inputs!$E$6</f>
        <v>585</v>
      </c>
      <c r="F321" s="15" t="n">
        <f aca="false">Inputs!$F$6</f>
        <v>640</v>
      </c>
      <c r="G321" s="15" t="n">
        <f aca="false">F321*(1+G320)</f>
        <v>695.36</v>
      </c>
      <c r="H321" s="15" t="n">
        <f aca="false">G321*(1+H320)</f>
        <v>759.07236</v>
      </c>
      <c r="I321" s="15" t="n">
        <f aca="false">H321*(1+I320)</f>
        <v>820.709035632</v>
      </c>
    </row>
    <row r="322" customFormat="false" ht="15" hidden="false" customHeight="false" outlineLevel="0" collapsed="false">
      <c r="B322" s="9" t="s">
        <v>34</v>
      </c>
      <c r="C322" s="20" t="s">
        <v>206</v>
      </c>
      <c r="D322" s="14" t="n">
        <f aca="false">(1+D324)/(1+D323)-1</f>
        <v>0.0281385281385282</v>
      </c>
      <c r="E322" s="14" t="n">
        <f aca="false">(1+E324)/(1+E323)-1</f>
        <v>0.0424612255275871</v>
      </c>
      <c r="F322" s="14" t="n">
        <f aca="false">(1+F324)/(1+F323)-1</f>
        <v>0.0419133317546767</v>
      </c>
      <c r="G322" s="14" t="n">
        <f aca="false">Inputs!$G$10</f>
        <v>0.04</v>
      </c>
      <c r="H322" s="14" t="n">
        <f aca="false">Inputs!$H$10</f>
        <v>0.045</v>
      </c>
      <c r="I322" s="14" t="n">
        <f aca="false">Inputs!$I$10</f>
        <v>0.045</v>
      </c>
    </row>
    <row r="323" customFormat="false" ht="15" hidden="false" customHeight="false" outlineLevel="0" collapsed="false">
      <c r="B323" s="9" t="s">
        <v>37</v>
      </c>
      <c r="C323" s="20" t="s">
        <v>206</v>
      </c>
      <c r="D323" s="14" t="n">
        <f aca="false">Inputs!$D$13</f>
        <v>0.05</v>
      </c>
      <c r="E323" s="14" t="n">
        <f aca="false">Inputs!$E$13</f>
        <v>0.035</v>
      </c>
      <c r="F323" s="14" t="n">
        <f aca="false">Inputs!$F$13</f>
        <v>0.03</v>
      </c>
      <c r="G323" s="14" t="n">
        <f aca="false">Inputs!$G$13</f>
        <v>0.03</v>
      </c>
      <c r="H323" s="14" t="n">
        <f aca="false">Inputs!$H$13</f>
        <v>0.03</v>
      </c>
      <c r="I323" s="14" t="n">
        <f aca="false">Inputs!$I$13</f>
        <v>0.03</v>
      </c>
    </row>
    <row r="324" customFormat="false" ht="15" hidden="false" customHeight="false" outlineLevel="0" collapsed="false">
      <c r="B324" s="9" t="s">
        <v>211</v>
      </c>
      <c r="C324" s="20" t="s">
        <v>206</v>
      </c>
      <c r="D324" s="14" t="n">
        <f aca="false">D325/Inputs!$C$7-1</f>
        <v>0.0795454545454546</v>
      </c>
      <c r="E324" s="14" t="n">
        <f aca="false">E325/D325-1</f>
        <v>0.0789473684210527</v>
      </c>
      <c r="F324" s="14" t="n">
        <f aca="false">F325/E325-1</f>
        <v>0.0731707317073171</v>
      </c>
      <c r="G324" s="14" t="n">
        <f aca="false">(1+G322)*(1+G323)-1</f>
        <v>0.0712000000000002</v>
      </c>
      <c r="H324" s="14" t="n">
        <f aca="false">(1+H322)*(1+H323)-1</f>
        <v>0.0763499999999999</v>
      </c>
      <c r="I324" s="14" t="n">
        <f aca="false">(1+I322)*(1+I323)-1</f>
        <v>0.0763499999999999</v>
      </c>
    </row>
    <row r="325" customFormat="false" ht="15" hidden="false" customHeight="false" outlineLevel="0" collapsed="false">
      <c r="B325" s="9" t="s">
        <v>212</v>
      </c>
      <c r="C325" s="20" t="s">
        <v>78</v>
      </c>
      <c r="D325" s="15" t="n">
        <f aca="false">Inputs!$D$7</f>
        <v>380</v>
      </c>
      <c r="E325" s="15" t="n">
        <f aca="false">Inputs!$E$7</f>
        <v>410</v>
      </c>
      <c r="F325" s="15" t="n">
        <f aca="false">Inputs!$F$7</f>
        <v>440</v>
      </c>
      <c r="G325" s="15" t="n">
        <f aca="false">F325*(1+G324)</f>
        <v>471.328</v>
      </c>
      <c r="H325" s="15" t="n">
        <f aca="false">G325*(1+H324)</f>
        <v>507.3138928</v>
      </c>
      <c r="I325" s="15" t="n">
        <f aca="false">H325*(1+I324)</f>
        <v>546.04730851528</v>
      </c>
    </row>
    <row r="326" customFormat="false" ht="15" hidden="false" customHeight="false" outlineLevel="0" collapsed="false">
      <c r="B326" s="26" t="s">
        <v>213</v>
      </c>
      <c r="C326" s="20" t="s">
        <v>78</v>
      </c>
      <c r="D326" s="27" t="n">
        <f aca="false">D317+D321+D325</f>
        <v>1950</v>
      </c>
      <c r="E326" s="27" t="n">
        <f aca="false">E317+E321+E325</f>
        <v>2080</v>
      </c>
      <c r="F326" s="27" t="n">
        <f aca="false">F317+F321+F325</f>
        <v>2200</v>
      </c>
      <c r="G326" s="27" t="n">
        <f aca="false">G317+G321+G325</f>
        <v>2326.168</v>
      </c>
      <c r="H326" s="27" t="n">
        <f aca="false">H317+H321+H325</f>
        <v>2472.7092448</v>
      </c>
      <c r="I326" s="27" t="n">
        <f aca="false">I317+I321+I325</f>
        <v>2627.96703228328</v>
      </c>
    </row>
    <row r="327" customFormat="false" ht="15" hidden="false" customHeight="false" outlineLevel="0" collapsed="false">
      <c r="B327" s="9" t="s">
        <v>214</v>
      </c>
      <c r="C327" s="20" t="s">
        <v>206</v>
      </c>
      <c r="D327" s="14" t="n">
        <f aca="false">D326/(Inputs!$C$5+Inputs!$C$6+Inputs!$C$7)-1</f>
        <v>0.0743801652892562</v>
      </c>
      <c r="E327" s="14" t="n">
        <f aca="false">E326/D326-1</f>
        <v>0.0666666666666667</v>
      </c>
      <c r="F327" s="14" t="n">
        <f aca="false">F326/E326-1</f>
        <v>0.0576923076923077</v>
      </c>
      <c r="G327" s="14" t="n">
        <f aca="false">G326/F326-1</f>
        <v>0.057349090909091</v>
      </c>
      <c r="H327" s="14" t="n">
        <f aca="false">H326/G326-1</f>
        <v>0.0629968449398324</v>
      </c>
      <c r="I327" s="14" t="n">
        <f aca="false">I326/H326-1</f>
        <v>0.062788533593175</v>
      </c>
    </row>
    <row r="328" customFormat="false" ht="15" hidden="false" customHeight="false" outlineLevel="0" collapsed="false">
      <c r="B328" s="18" t="s">
        <v>215</v>
      </c>
      <c r="C328" s="19"/>
      <c r="D328" s="19"/>
      <c r="E328" s="19"/>
      <c r="F328" s="19"/>
      <c r="G328" s="19"/>
      <c r="H328" s="19"/>
      <c r="I328" s="19"/>
    </row>
    <row r="329" customFormat="false" ht="15" hidden="false" customHeight="false" outlineLevel="0" collapsed="false">
      <c r="B329" s="9" t="s">
        <v>38</v>
      </c>
      <c r="C329" s="20" t="s">
        <v>206</v>
      </c>
      <c r="D329" s="14" t="n">
        <f aca="false">Inputs!$D$14</f>
        <v>0.121</v>
      </c>
      <c r="E329" s="14" t="n">
        <f aca="false">Inputs!$E$14</f>
        <v>0.126</v>
      </c>
      <c r="F329" s="14" t="n">
        <f aca="false">Inputs!$F$14</f>
        <v>0.13</v>
      </c>
      <c r="G329" s="14" t="n">
        <f aca="false">(Inputs!$G$14+$D$5)</f>
        <v>0.142</v>
      </c>
      <c r="H329" s="14" t="n">
        <f aca="false">(Inputs!$H$14+$D$5)</f>
        <v>0.146</v>
      </c>
      <c r="I329" s="14" t="n">
        <f aca="false">(Inputs!$I$14+$D$5)</f>
        <v>0.15</v>
      </c>
    </row>
    <row r="330" customFormat="false" ht="15" hidden="false" customHeight="false" outlineLevel="0" collapsed="false">
      <c r="B330" s="9" t="s">
        <v>216</v>
      </c>
      <c r="C330" s="20" t="s">
        <v>78</v>
      </c>
      <c r="D330" s="15" t="n">
        <f aca="false">D317*D329</f>
        <v>125.84</v>
      </c>
      <c r="E330" s="15" t="n">
        <f aca="false">E317*E329</f>
        <v>136.71</v>
      </c>
      <c r="F330" s="15" t="n">
        <f aca="false">F317*F329</f>
        <v>145.6</v>
      </c>
      <c r="G330" s="15" t="n">
        <f aca="false">G317*G329</f>
        <v>164.64616</v>
      </c>
      <c r="H330" s="15" t="n">
        <f aca="false">H317*H329</f>
        <v>176.123156832</v>
      </c>
      <c r="I330" s="15" t="n">
        <f aca="false">I317*I329</f>
        <v>189.1816032204</v>
      </c>
    </row>
    <row r="331" customFormat="false" ht="15" hidden="false" customHeight="false" outlineLevel="0" collapsed="false">
      <c r="B331" s="9" t="s">
        <v>39</v>
      </c>
      <c r="C331" s="20" t="s">
        <v>206</v>
      </c>
      <c r="D331" s="14" t="n">
        <f aca="false">Inputs!$D$15</f>
        <v>0.195</v>
      </c>
      <c r="E331" s="14" t="n">
        <f aca="false">Inputs!$E$15</f>
        <v>0.203</v>
      </c>
      <c r="F331" s="14" t="n">
        <f aca="false">Inputs!$F$15</f>
        <v>0.21</v>
      </c>
      <c r="G331" s="14" t="n">
        <f aca="false">Inputs!$G$15</f>
        <v>0.218</v>
      </c>
      <c r="H331" s="14" t="n">
        <f aca="false">Inputs!$H$15</f>
        <v>0.225</v>
      </c>
      <c r="I331" s="14" t="n">
        <f aca="false">Inputs!$I$15</f>
        <v>0.23</v>
      </c>
    </row>
    <row r="332" customFormat="false" ht="15" hidden="false" customHeight="false" outlineLevel="0" collapsed="false">
      <c r="B332" s="9" t="s">
        <v>217</v>
      </c>
      <c r="C332" s="20" t="s">
        <v>78</v>
      </c>
      <c r="D332" s="15" t="n">
        <f aca="false">D321*D331</f>
        <v>103.35</v>
      </c>
      <c r="E332" s="15" t="n">
        <f aca="false">E321*E331</f>
        <v>118.755</v>
      </c>
      <c r="F332" s="15" t="n">
        <f aca="false">F321*F331</f>
        <v>134.4</v>
      </c>
      <c r="G332" s="15" t="n">
        <f aca="false">G321*G331</f>
        <v>151.58848</v>
      </c>
      <c r="H332" s="15" t="n">
        <f aca="false">H321*H331</f>
        <v>170.791281</v>
      </c>
      <c r="I332" s="15" t="n">
        <f aca="false">I321*I331</f>
        <v>188.76307819536</v>
      </c>
    </row>
    <row r="333" customFormat="false" ht="15" hidden="false" customHeight="false" outlineLevel="0" collapsed="false">
      <c r="B333" s="9" t="s">
        <v>40</v>
      </c>
      <c r="C333" s="20" t="s">
        <v>206</v>
      </c>
      <c r="D333" s="14" t="n">
        <f aca="false">Inputs!$D$16</f>
        <v>0.23</v>
      </c>
      <c r="E333" s="14" t="n">
        <f aca="false">Inputs!$E$16</f>
        <v>0.235</v>
      </c>
      <c r="F333" s="14" t="n">
        <f aca="false">Inputs!$F$16</f>
        <v>0.24</v>
      </c>
      <c r="G333" s="14" t="n">
        <f aca="false">Inputs!$G$16</f>
        <v>0.243</v>
      </c>
      <c r="H333" s="14" t="n">
        <f aca="false">Inputs!$H$16</f>
        <v>0.246</v>
      </c>
      <c r="I333" s="14" t="n">
        <f aca="false">Inputs!$I$16</f>
        <v>0.248</v>
      </c>
    </row>
    <row r="334" customFormat="false" ht="15" hidden="false" customHeight="false" outlineLevel="0" collapsed="false">
      <c r="B334" s="9" t="s">
        <v>218</v>
      </c>
      <c r="C334" s="20" t="s">
        <v>78</v>
      </c>
      <c r="D334" s="15" t="n">
        <f aca="false">D325*D333</f>
        <v>87.4</v>
      </c>
      <c r="E334" s="15" t="n">
        <f aca="false">E325*E333</f>
        <v>96.35</v>
      </c>
      <c r="F334" s="15" t="n">
        <f aca="false">F325*F333</f>
        <v>105.6</v>
      </c>
      <c r="G334" s="15" t="n">
        <f aca="false">G325*G333</f>
        <v>114.532704</v>
      </c>
      <c r="H334" s="15" t="n">
        <f aca="false">H325*H333</f>
        <v>124.7992176288</v>
      </c>
      <c r="I334" s="15" t="n">
        <f aca="false">I325*I333</f>
        <v>135.419732511789</v>
      </c>
    </row>
    <row r="335" customFormat="false" ht="15" hidden="false" customHeight="false" outlineLevel="0" collapsed="false">
      <c r="B335" s="9" t="s">
        <v>219</v>
      </c>
      <c r="C335" s="20" t="s">
        <v>78</v>
      </c>
      <c r="D335" s="15" t="n">
        <f aca="false">D330+D332+D334</f>
        <v>316.59</v>
      </c>
      <c r="E335" s="15" t="n">
        <f aca="false">E330+E332+E334</f>
        <v>351.815</v>
      </c>
      <c r="F335" s="15" t="n">
        <f aca="false">F330+F332+F334</f>
        <v>385.6</v>
      </c>
      <c r="G335" s="15" t="n">
        <f aca="false">G330+G332+G334</f>
        <v>430.767344</v>
      </c>
      <c r="H335" s="15" t="n">
        <f aca="false">H330+H332+H334</f>
        <v>471.7136554608</v>
      </c>
      <c r="I335" s="15" t="n">
        <f aca="false">I330+I332+I334</f>
        <v>513.36441392755</v>
      </c>
    </row>
    <row r="336" customFormat="false" ht="15" hidden="false" customHeight="false" outlineLevel="0" collapsed="false">
      <c r="B336" s="9" t="s">
        <v>41</v>
      </c>
      <c r="C336" s="20" t="s">
        <v>78</v>
      </c>
      <c r="D336" s="15" t="n">
        <f aca="false">Inputs!$D$17</f>
        <v>44</v>
      </c>
      <c r="E336" s="15" t="n">
        <f aca="false">Inputs!$E$17</f>
        <v>46</v>
      </c>
      <c r="F336" s="15" t="n">
        <f aca="false">Inputs!$F$17</f>
        <v>48</v>
      </c>
      <c r="G336" s="15" t="n">
        <f aca="false">Inputs!$G$17</f>
        <v>50</v>
      </c>
      <c r="H336" s="15" t="n">
        <f aca="false">Inputs!$H$17</f>
        <v>52</v>
      </c>
      <c r="I336" s="15" t="n">
        <f aca="false">Inputs!$I$17</f>
        <v>54</v>
      </c>
    </row>
    <row r="337" customFormat="false" ht="15" hidden="false" customHeight="false" outlineLevel="0" collapsed="false">
      <c r="B337" s="26" t="s">
        <v>220</v>
      </c>
      <c r="C337" s="20" t="s">
        <v>78</v>
      </c>
      <c r="D337" s="27" t="n">
        <f aca="false">D335-D336</f>
        <v>272.59</v>
      </c>
      <c r="E337" s="27" t="n">
        <f aca="false">E335-E336</f>
        <v>305.815</v>
      </c>
      <c r="F337" s="27" t="n">
        <f aca="false">F335-F336</f>
        <v>337.6</v>
      </c>
      <c r="G337" s="27" t="n">
        <f aca="false">G335-G336</f>
        <v>380.767344</v>
      </c>
      <c r="H337" s="27" t="n">
        <f aca="false">H335-H336</f>
        <v>419.7136554608</v>
      </c>
      <c r="I337" s="27" t="n">
        <f aca="false">I335-I336</f>
        <v>459.36441392755</v>
      </c>
    </row>
    <row r="338" customFormat="false" ht="15" hidden="false" customHeight="false" outlineLevel="0" collapsed="false">
      <c r="B338" s="9" t="s">
        <v>221</v>
      </c>
      <c r="C338" s="20" t="s">
        <v>206</v>
      </c>
      <c r="D338" s="14" t="n">
        <f aca="false">D337/D326</f>
        <v>0.139789743589744</v>
      </c>
      <c r="E338" s="14" t="n">
        <f aca="false">E337/E326</f>
        <v>0.147026442307692</v>
      </c>
      <c r="F338" s="14" t="n">
        <f aca="false">F337/F326</f>
        <v>0.153454545454545</v>
      </c>
      <c r="G338" s="14" t="n">
        <f aca="false">G337/G326</f>
        <v>0.163688669090109</v>
      </c>
      <c r="H338" s="14" t="n">
        <f aca="false">H337/H326</f>
        <v>0.169738377588647</v>
      </c>
      <c r="I338" s="14" t="n">
        <f aca="false">I337/I326</f>
        <v>0.174798392934342</v>
      </c>
    </row>
    <row r="339" customFormat="false" ht="15" hidden="false" customHeight="false" outlineLevel="0" collapsed="false">
      <c r="B339" s="9" t="s">
        <v>222</v>
      </c>
      <c r="C339" s="20" t="s">
        <v>78</v>
      </c>
      <c r="D339" s="15" t="n">
        <f aca="false">D326*Inputs!$D$80</f>
        <v>54.6</v>
      </c>
      <c r="E339" s="15" t="n">
        <f aca="false">E326*Inputs!$D$80</f>
        <v>58.24</v>
      </c>
      <c r="F339" s="15" t="n">
        <f aca="false">F326*Inputs!$D$80</f>
        <v>61.6</v>
      </c>
      <c r="G339" s="15" t="n">
        <f aca="false">G326*Inputs!$D$80</f>
        <v>65.132704</v>
      </c>
      <c r="H339" s="15" t="n">
        <f aca="false">H326*Inputs!$D$80</f>
        <v>69.2358588544</v>
      </c>
      <c r="I339" s="15" t="n">
        <f aca="false">I326*Inputs!$D$80</f>
        <v>73.5830769039318</v>
      </c>
    </row>
    <row r="340" customFormat="false" ht="15" hidden="false" customHeight="false" outlineLevel="0" collapsed="false">
      <c r="B340" s="9" t="s">
        <v>223</v>
      </c>
      <c r="C340" s="20" t="s">
        <v>78</v>
      </c>
      <c r="D340" s="15" t="n">
        <f aca="false">D337+D339</f>
        <v>327.19</v>
      </c>
      <c r="E340" s="15" t="n">
        <f aca="false">E337+E339</f>
        <v>364.055</v>
      </c>
      <c r="F340" s="15" t="n">
        <f aca="false">F337+F339</f>
        <v>399.2</v>
      </c>
      <c r="G340" s="15" t="n">
        <f aca="false">G337+G339</f>
        <v>445.900048</v>
      </c>
      <c r="H340" s="15" t="n">
        <f aca="false">H337+H339</f>
        <v>488.9495143152</v>
      </c>
      <c r="I340" s="15" t="n">
        <f aca="false">I337+I339</f>
        <v>532.947490831481</v>
      </c>
    </row>
    <row r="341" customFormat="false" ht="15" hidden="false" customHeight="false" outlineLevel="0" collapsed="false">
      <c r="B341" s="9" t="s">
        <v>42</v>
      </c>
      <c r="C341" s="20" t="s">
        <v>78</v>
      </c>
      <c r="D341" s="15" t="n">
        <f aca="false">Inputs!$D$18</f>
        <v>38</v>
      </c>
      <c r="E341" s="15" t="n">
        <f aca="false">Inputs!$E$18</f>
        <v>38</v>
      </c>
      <c r="F341" s="15" t="n">
        <f aca="false">Inputs!$F$18</f>
        <v>38</v>
      </c>
      <c r="G341" s="15" t="n">
        <f aca="false">Inputs!$G$18</f>
        <v>38</v>
      </c>
      <c r="H341" s="15" t="n">
        <f aca="false">Inputs!$H$18</f>
        <v>36</v>
      </c>
      <c r="I341" s="15" t="n">
        <f aca="false">Inputs!$I$18</f>
        <v>34</v>
      </c>
    </row>
    <row r="342" customFormat="false" ht="15" hidden="false" customHeight="false" outlineLevel="0" collapsed="false">
      <c r="B342" s="9" t="s">
        <v>43</v>
      </c>
      <c r="C342" s="20" t="s">
        <v>78</v>
      </c>
      <c r="D342" s="15" t="n">
        <f aca="false">Inputs!$D$19</f>
        <v>0</v>
      </c>
      <c r="E342" s="15" t="n">
        <f aca="false">Inputs!$E$19</f>
        <v>15</v>
      </c>
      <c r="F342" s="15" t="n">
        <f aca="false">Inputs!$F$19</f>
        <v>22</v>
      </c>
      <c r="G342" s="15" t="n">
        <f aca="false">Inputs!$G$19</f>
        <v>12</v>
      </c>
      <c r="H342" s="15" t="n">
        <f aca="false">Inputs!$H$19</f>
        <v>0</v>
      </c>
      <c r="I342" s="15" t="n">
        <f aca="false">Inputs!$I$19</f>
        <v>0</v>
      </c>
    </row>
    <row r="343" customFormat="false" ht="15" hidden="false" customHeight="false" outlineLevel="0" collapsed="false">
      <c r="B343" s="9" t="s">
        <v>224</v>
      </c>
      <c r="C343" s="20" t="s">
        <v>78</v>
      </c>
      <c r="D343" s="15" t="n">
        <f aca="false">D337-D341-D342</f>
        <v>234.59</v>
      </c>
      <c r="E343" s="15" t="n">
        <f aca="false">E337-E341-E342</f>
        <v>252.815</v>
      </c>
      <c r="F343" s="15" t="n">
        <f aca="false">F337-F341-F342</f>
        <v>277.6</v>
      </c>
      <c r="G343" s="15" t="n">
        <f aca="false">G337-G341-G342</f>
        <v>330.767344</v>
      </c>
      <c r="H343" s="15" t="n">
        <f aca="false">H337-H341-H342</f>
        <v>383.7136554608</v>
      </c>
      <c r="I343" s="15" t="n">
        <f aca="false">I337-I341-I342</f>
        <v>425.36441392755</v>
      </c>
    </row>
    <row r="344" customFormat="false" ht="15" hidden="false" customHeight="false" outlineLevel="0" collapsed="false">
      <c r="B344" s="18" t="s">
        <v>225</v>
      </c>
      <c r="C344" s="19"/>
      <c r="D344" s="19"/>
      <c r="E344" s="19"/>
      <c r="F344" s="19"/>
      <c r="G344" s="19"/>
      <c r="H344" s="19"/>
      <c r="I344" s="19"/>
    </row>
    <row r="345" customFormat="false" ht="15" hidden="false" customHeight="false" outlineLevel="0" collapsed="false">
      <c r="B345" s="9" t="s">
        <v>226</v>
      </c>
      <c r="C345" s="20" t="s">
        <v>78</v>
      </c>
      <c r="D345" s="15" t="n">
        <f aca="false">Inputs!$D$20</f>
        <v>58</v>
      </c>
      <c r="E345" s="15" t="n">
        <f aca="false">Inputs!$E$20</f>
        <v>55</v>
      </c>
      <c r="F345" s="15" t="n">
        <f aca="false">Inputs!$F$20</f>
        <v>52</v>
      </c>
      <c r="G345" s="15" t="n">
        <f aca="false">F368*Inputs!$D$83</f>
        <v>55</v>
      </c>
      <c r="H345" s="15" t="n">
        <f aca="false">G368*Inputs!$D$83</f>
        <v>49.858702856</v>
      </c>
      <c r="I345" s="15" t="n">
        <f aca="false">H368*Inputs!$D$83</f>
        <v>43.0327002328752</v>
      </c>
    </row>
    <row r="346" customFormat="false" ht="15" hidden="false" customHeight="false" outlineLevel="0" collapsed="false">
      <c r="B346" s="9" t="s">
        <v>227</v>
      </c>
      <c r="C346" s="20" t="s">
        <v>78</v>
      </c>
      <c r="D346" s="15" t="n">
        <f aca="false">D343-D345</f>
        <v>176.59</v>
      </c>
      <c r="E346" s="15" t="n">
        <f aca="false">E343-E345</f>
        <v>197.815</v>
      </c>
      <c r="F346" s="15" t="n">
        <f aca="false">F343-F345</f>
        <v>225.6</v>
      </c>
      <c r="G346" s="15" t="n">
        <f aca="false">G343-G345</f>
        <v>275.767344</v>
      </c>
      <c r="H346" s="15" t="n">
        <f aca="false">H343-H345</f>
        <v>333.8549526048</v>
      </c>
      <c r="I346" s="15" t="n">
        <f aca="false">I343-I345</f>
        <v>382.331713694674</v>
      </c>
    </row>
    <row r="347" customFormat="false" ht="15" hidden="false" customHeight="false" outlineLevel="0" collapsed="false">
      <c r="B347" s="9" t="s">
        <v>228</v>
      </c>
      <c r="C347" s="20" t="s">
        <v>78</v>
      </c>
      <c r="D347" s="15" t="n">
        <f aca="false">D346*Inputs!$D$79</f>
        <v>40.6157</v>
      </c>
      <c r="E347" s="15" t="n">
        <f aca="false">E346*Inputs!$D$79</f>
        <v>45.49745</v>
      </c>
      <c r="F347" s="15" t="n">
        <f aca="false">F346*Inputs!$D$79</f>
        <v>51.888</v>
      </c>
      <c r="G347" s="15" t="n">
        <f aca="false">G346*Inputs!$D$79</f>
        <v>63.42648912</v>
      </c>
      <c r="H347" s="15" t="n">
        <f aca="false">H346*Inputs!$D$79</f>
        <v>76.786639099104</v>
      </c>
      <c r="I347" s="15" t="n">
        <f aca="false">I346*Inputs!$D$79</f>
        <v>87.9362941497751</v>
      </c>
    </row>
    <row r="348" customFormat="false" ht="15" hidden="false" customHeight="false" outlineLevel="0" collapsed="false">
      <c r="B348" s="9" t="s">
        <v>229</v>
      </c>
      <c r="C348" s="20" t="s">
        <v>78</v>
      </c>
      <c r="D348" s="15" t="n">
        <f aca="false">D346-D347</f>
        <v>135.9743</v>
      </c>
      <c r="E348" s="15" t="n">
        <f aca="false">E346-E347</f>
        <v>152.31755</v>
      </c>
      <c r="F348" s="15" t="n">
        <f aca="false">F346-F347</f>
        <v>173.712</v>
      </c>
      <c r="G348" s="15" t="n">
        <f aca="false">G346-G347</f>
        <v>212.34085488</v>
      </c>
      <c r="H348" s="15" t="n">
        <f aca="false">H346-H347</f>
        <v>257.068313505696</v>
      </c>
      <c r="I348" s="15" t="n">
        <f aca="false">I346-I347</f>
        <v>294.395419544899</v>
      </c>
    </row>
    <row r="349" customFormat="false" ht="15" hidden="false" customHeight="false" outlineLevel="0" collapsed="false">
      <c r="B349" s="9" t="s">
        <v>230</v>
      </c>
      <c r="C349" s="20" t="s">
        <v>231</v>
      </c>
      <c r="D349" s="16" t="n">
        <f aca="false">Inputs!$D$21</f>
        <v>57</v>
      </c>
      <c r="E349" s="16" t="n">
        <f aca="false">Inputs!$E$21</f>
        <v>56.3</v>
      </c>
      <c r="F349" s="16" t="n">
        <f aca="false">Inputs!$F$21</f>
        <v>55.6</v>
      </c>
      <c r="G349" s="16" t="n">
        <f aca="false">Inputs!$G$21</f>
        <v>55</v>
      </c>
      <c r="H349" s="16" t="n">
        <f aca="false">Inputs!$H$21</f>
        <v>54.4</v>
      </c>
      <c r="I349" s="16" t="n">
        <f aca="false">Inputs!$I$21</f>
        <v>53.8</v>
      </c>
    </row>
    <row r="350" customFormat="false" ht="15" hidden="false" customHeight="false" outlineLevel="0" collapsed="false">
      <c r="B350" s="26" t="s">
        <v>232</v>
      </c>
      <c r="C350" s="20" t="s">
        <v>61</v>
      </c>
      <c r="D350" s="28" t="n">
        <f aca="false">D348/D349</f>
        <v>2.38551403508772</v>
      </c>
      <c r="E350" s="28" t="n">
        <f aca="false">E348/E349</f>
        <v>2.70546269982238</v>
      </c>
      <c r="F350" s="28" t="n">
        <f aca="false">F348/F349</f>
        <v>3.12431654676259</v>
      </c>
      <c r="G350" s="28" t="n">
        <f aca="false">G348/G349</f>
        <v>3.860742816</v>
      </c>
      <c r="H350" s="28" t="n">
        <f aca="false">H348/H349</f>
        <v>4.72552046885471</v>
      </c>
      <c r="I350" s="28" t="n">
        <f aca="false">I348/I349</f>
        <v>5.47203382053716</v>
      </c>
    </row>
    <row r="351" customFormat="false" ht="15" hidden="false" customHeight="false" outlineLevel="0" collapsed="false">
      <c r="B351" s="18" t="s">
        <v>233</v>
      </c>
      <c r="C351" s="19"/>
      <c r="D351" s="19"/>
      <c r="E351" s="19"/>
      <c r="F351" s="19"/>
      <c r="G351" s="19"/>
      <c r="H351" s="19"/>
      <c r="I351" s="19"/>
    </row>
    <row r="352" customFormat="false" ht="15" hidden="false" customHeight="false" outlineLevel="0" collapsed="false">
      <c r="B352" s="9" t="s">
        <v>234</v>
      </c>
      <c r="C352" s="20" t="s">
        <v>61</v>
      </c>
      <c r="D352" s="17" t="n">
        <f aca="false">D341*(1-Inputs!$D$79)/D349</f>
        <v>0.513333333333333</v>
      </c>
      <c r="E352" s="17" t="n">
        <f aca="false">E341*(1-Inputs!$D$79)/E349</f>
        <v>0.519715808170515</v>
      </c>
      <c r="F352" s="17" t="n">
        <f aca="false">F341*(1-Inputs!$D$79)/F349</f>
        <v>0.526258992805755</v>
      </c>
      <c r="G352" s="17" t="n">
        <f aca="false">G341*(1-Inputs!$D$79)/G349</f>
        <v>0.532</v>
      </c>
      <c r="H352" s="17" t="n">
        <f aca="false">H341*(1-Inputs!$D$79)/H349</f>
        <v>0.509558823529412</v>
      </c>
      <c r="I352" s="17" t="n">
        <f aca="false">I341*(1-Inputs!$D$79)/I349</f>
        <v>0.486617100371747</v>
      </c>
    </row>
    <row r="353" customFormat="false" ht="15" hidden="false" customHeight="false" outlineLevel="0" collapsed="false">
      <c r="B353" s="9" t="s">
        <v>235</v>
      </c>
      <c r="C353" s="20" t="s">
        <v>61</v>
      </c>
      <c r="D353" s="17" t="n">
        <f aca="false">D342*(1-Inputs!$D$79)/D349</f>
        <v>0</v>
      </c>
      <c r="E353" s="17" t="n">
        <f aca="false">E342*(1-Inputs!$D$79)/E349</f>
        <v>0.205150976909414</v>
      </c>
      <c r="F353" s="17" t="n">
        <f aca="false">F342*(1-Inputs!$D$79)/F349</f>
        <v>0.304676258992806</v>
      </c>
      <c r="G353" s="17" t="n">
        <f aca="false">G342*(1-Inputs!$D$79)/G349</f>
        <v>0.168</v>
      </c>
      <c r="H353" s="17" t="n">
        <f aca="false">H342*(1-Inputs!$D$79)/H349</f>
        <v>0</v>
      </c>
      <c r="I353" s="17" t="n">
        <f aca="false">I342*(1-Inputs!$D$79)/I349</f>
        <v>0</v>
      </c>
    </row>
    <row r="354" customFormat="false" ht="15" hidden="false" customHeight="false" outlineLevel="0" collapsed="false">
      <c r="B354" s="9" t="s">
        <v>236</v>
      </c>
      <c r="C354" s="20" t="s">
        <v>78</v>
      </c>
      <c r="D354" s="15" t="n">
        <f aca="false">(D341+D342)*(1-Inputs!$D$79)</f>
        <v>29.26</v>
      </c>
      <c r="E354" s="15" t="n">
        <f aca="false">(E341+E342)*(1-Inputs!$D$79)</f>
        <v>40.81</v>
      </c>
      <c r="F354" s="15" t="n">
        <f aca="false">(F341+F342)*(1-Inputs!$D$79)</f>
        <v>46.2</v>
      </c>
      <c r="G354" s="15" t="n">
        <f aca="false">(G341+G342)*(1-Inputs!$D$79)</f>
        <v>38.5</v>
      </c>
      <c r="H354" s="15" t="n">
        <f aca="false">(H341+H342)*(1-Inputs!$D$79)</f>
        <v>27.72</v>
      </c>
      <c r="I354" s="15" t="n">
        <f aca="false">(I341+I342)*(1-Inputs!$D$79)</f>
        <v>26.18</v>
      </c>
    </row>
    <row r="355" customFormat="false" ht="15" hidden="false" customHeight="false" outlineLevel="0" collapsed="false">
      <c r="B355" s="9" t="s">
        <v>237</v>
      </c>
      <c r="C355" s="20" t="s">
        <v>78</v>
      </c>
      <c r="D355" s="15" t="n">
        <f aca="false">D348+D354</f>
        <v>165.2343</v>
      </c>
      <c r="E355" s="15" t="n">
        <f aca="false">E348+E354</f>
        <v>193.12755</v>
      </c>
      <c r="F355" s="15" t="n">
        <f aca="false">F348+F354</f>
        <v>219.912</v>
      </c>
      <c r="G355" s="15" t="n">
        <f aca="false">G348+G354</f>
        <v>250.84085488</v>
      </c>
      <c r="H355" s="15" t="n">
        <f aca="false">H348+H354</f>
        <v>284.788313505696</v>
      </c>
      <c r="I355" s="15" t="n">
        <f aca="false">I348+I354</f>
        <v>320.575419544899</v>
      </c>
    </row>
    <row r="356" customFormat="false" ht="15" hidden="false" customHeight="false" outlineLevel="0" collapsed="false">
      <c r="B356" s="26" t="s">
        <v>238</v>
      </c>
      <c r="C356" s="20" t="s">
        <v>61</v>
      </c>
      <c r="D356" s="28" t="n">
        <f aca="false">D355/D349</f>
        <v>2.89884736842105</v>
      </c>
      <c r="E356" s="28" t="n">
        <f aca="false">E355/E349</f>
        <v>3.43032948490231</v>
      </c>
      <c r="F356" s="28" t="n">
        <f aca="false">F355/F349</f>
        <v>3.95525179856115</v>
      </c>
      <c r="G356" s="28" t="n">
        <f aca="false">G355/G349</f>
        <v>4.560742816</v>
      </c>
      <c r="H356" s="28" t="n">
        <f aca="false">H355/H349</f>
        <v>5.23507929238412</v>
      </c>
      <c r="I356" s="28" t="n">
        <f aca="false">I355/I349</f>
        <v>5.95865092090891</v>
      </c>
    </row>
    <row r="357" customFormat="false" ht="15" hidden="false" customHeight="false" outlineLevel="0" collapsed="false">
      <c r="B357" s="9" t="s">
        <v>239</v>
      </c>
      <c r="C357" s="20" t="s">
        <v>206</v>
      </c>
      <c r="D357" s="9"/>
      <c r="E357" s="14" t="n">
        <f aca="false">E356/D356-1</f>
        <v>0.183342566521791</v>
      </c>
      <c r="F357" s="14" t="n">
        <f aca="false">F356/E356-1</f>
        <v>0.153023875977264</v>
      </c>
      <c r="G357" s="14" t="n">
        <f aca="false">G356/F356-1</f>
        <v>0.153085327629233</v>
      </c>
      <c r="H357" s="14" t="n">
        <f aca="false">H356/G356-1</f>
        <v>0.147856720624195</v>
      </c>
      <c r="I357" s="14" t="n">
        <f aca="false">I356/H356-1</f>
        <v>0.138215982626553</v>
      </c>
    </row>
    <row r="358" customFormat="false" ht="15" hidden="false" customHeight="false" outlineLevel="0" collapsed="false">
      <c r="B358" s="9" t="s">
        <v>240</v>
      </c>
      <c r="C358" s="20" t="s">
        <v>206</v>
      </c>
      <c r="D358" s="14" t="n">
        <f aca="false">D356/D350-1</f>
        <v>0.215187722974121</v>
      </c>
      <c r="E358" s="14" t="n">
        <f aca="false">E356/E350-1</f>
        <v>0.267927103606906</v>
      </c>
      <c r="F358" s="14" t="n">
        <f aca="false">F356/F350-1</f>
        <v>0.265957446808511</v>
      </c>
      <c r="G358" s="14" t="n">
        <f aca="false">G356/G350-1</f>
        <v>0.181312258640747</v>
      </c>
      <c r="H358" s="14" t="n">
        <f aca="false">H356/H350-1</f>
        <v>0.107831259411074</v>
      </c>
      <c r="I358" s="14" t="n">
        <f aca="false">I356/I350-1</f>
        <v>0.0889280140311666</v>
      </c>
    </row>
    <row r="359" customFormat="false" ht="15" hidden="false" customHeight="false" outlineLevel="0" collapsed="false">
      <c r="B359" s="18" t="s">
        <v>241</v>
      </c>
      <c r="C359" s="19"/>
      <c r="D359" s="19"/>
      <c r="E359" s="19"/>
      <c r="F359" s="19"/>
      <c r="G359" s="19"/>
      <c r="H359" s="19"/>
      <c r="I359" s="19"/>
    </row>
    <row r="360" customFormat="false" ht="15" hidden="false" customHeight="false" outlineLevel="0" collapsed="false">
      <c r="B360" s="9" t="s">
        <v>242</v>
      </c>
      <c r="C360" s="20" t="s">
        <v>78</v>
      </c>
      <c r="D360" s="15" t="n">
        <f aca="false">D326*Inputs!$D$81</f>
        <v>62.4</v>
      </c>
      <c r="E360" s="15" t="n">
        <f aca="false">E326*Inputs!$D$81</f>
        <v>66.56</v>
      </c>
      <c r="F360" s="15" t="n">
        <f aca="false">F326*Inputs!$D$81</f>
        <v>70.4</v>
      </c>
      <c r="G360" s="15" t="n">
        <f aca="false">G326*Inputs!$D$81</f>
        <v>74.437376</v>
      </c>
      <c r="H360" s="15" t="n">
        <f aca="false">H326*Inputs!$D$81</f>
        <v>79.1266958336</v>
      </c>
      <c r="I360" s="15" t="n">
        <f aca="false">I326*Inputs!$D$81</f>
        <v>84.094945033065</v>
      </c>
    </row>
    <row r="361" customFormat="false" ht="15" hidden="false" customHeight="false" outlineLevel="0" collapsed="false">
      <c r="B361" s="9" t="s">
        <v>243</v>
      </c>
      <c r="C361" s="20" t="s">
        <v>78</v>
      </c>
      <c r="D361" s="15" t="n">
        <f aca="false">(D326-(Inputs!$C$5+Inputs!$C$6+Inputs!$C$7))*Inputs!$D$82</f>
        <v>24.3</v>
      </c>
      <c r="E361" s="15" t="n">
        <f aca="false">(E326-D326)*Inputs!$D$82</f>
        <v>23.4</v>
      </c>
      <c r="F361" s="15" t="n">
        <f aca="false">(F326-E326)*Inputs!$D$82</f>
        <v>21.6</v>
      </c>
      <c r="G361" s="15" t="n">
        <f aca="false">(G326-F326)*Inputs!$D$82</f>
        <v>22.71024</v>
      </c>
      <c r="H361" s="15" t="n">
        <f aca="false">(H326-G326)*Inputs!$D$82</f>
        <v>26.377424064</v>
      </c>
      <c r="I361" s="15" t="n">
        <f aca="false">(I326-H326)*Inputs!$D$82</f>
        <v>27.9464017469903</v>
      </c>
    </row>
    <row r="362" customFormat="false" ht="15" hidden="false" customHeight="false" outlineLevel="0" collapsed="false">
      <c r="B362" s="26" t="s">
        <v>244</v>
      </c>
      <c r="C362" s="20" t="s">
        <v>78</v>
      </c>
      <c r="D362" s="27" t="n">
        <f aca="false">D348+D339+D341-D360-D361</f>
        <v>141.8743</v>
      </c>
      <c r="E362" s="27" t="n">
        <f aca="false">E348+E339+E341-E360-E361</f>
        <v>158.59755</v>
      </c>
      <c r="F362" s="27" t="n">
        <f aca="false">F348+F339+F341-F360-F361</f>
        <v>181.312</v>
      </c>
      <c r="G362" s="27" t="n">
        <f aca="false">G348+G339+G341-G360-G361</f>
        <v>218.32594288</v>
      </c>
      <c r="H362" s="27" t="n">
        <f aca="false">H348+H339+H341-H360-H361</f>
        <v>256.800052462496</v>
      </c>
      <c r="I362" s="27" t="n">
        <f aca="false">I348+I339+I341-I360-I361</f>
        <v>289.937149668776</v>
      </c>
    </row>
    <row r="363" customFormat="false" ht="15" hidden="false" customHeight="false" outlineLevel="0" collapsed="false">
      <c r="B363" s="9" t="s">
        <v>245</v>
      </c>
      <c r="C363" s="20" t="s">
        <v>206</v>
      </c>
      <c r="D363" s="29" t="n">
        <f aca="false">D362/D355</f>
        <v>0.85862499493144</v>
      </c>
      <c r="E363" s="29" t="n">
        <f aca="false">E362/E355</f>
        <v>0.821206244267066</v>
      </c>
      <c r="F363" s="29" t="n">
        <f aca="false">F362/F355</f>
        <v>0.824475244643312</v>
      </c>
      <c r="G363" s="29" t="n">
        <f aca="false">G362/G355</f>
        <v>0.870376330779311</v>
      </c>
      <c r="H363" s="29" t="n">
        <f aca="false">H362/H355</f>
        <v>0.901722578786084</v>
      </c>
      <c r="I363" s="29" t="n">
        <f aca="false">I362/I355</f>
        <v>0.904427264200048</v>
      </c>
    </row>
    <row r="364" customFormat="false" ht="15" hidden="false" customHeight="false" outlineLevel="0" collapsed="false">
      <c r="B364" s="9" t="s">
        <v>246</v>
      </c>
      <c r="C364" s="20" t="s">
        <v>61</v>
      </c>
      <c r="D364" s="17" t="n">
        <f aca="false">D362/D349</f>
        <v>2.48902280701754</v>
      </c>
      <c r="E364" s="17" t="n">
        <f aca="false">E362/E349</f>
        <v>2.81700799289521</v>
      </c>
      <c r="F364" s="17" t="n">
        <f aca="false">F362/F349</f>
        <v>3.2610071942446</v>
      </c>
      <c r="G364" s="17" t="n">
        <f aca="false">G362/G349</f>
        <v>3.96956259781818</v>
      </c>
      <c r="H364" s="17" t="n">
        <f aca="false">H362/H349</f>
        <v>4.72058919967823</v>
      </c>
      <c r="I364" s="17" t="n">
        <f aca="false">I362/I349</f>
        <v>5.38916635072074</v>
      </c>
    </row>
    <row r="365" customFormat="false" ht="15" hidden="false" customHeight="false" outlineLevel="0" collapsed="false">
      <c r="B365" s="9" t="s">
        <v>247</v>
      </c>
      <c r="C365" s="20" t="s">
        <v>61</v>
      </c>
      <c r="D365" s="17" t="n">
        <f aca="false">Inputs!$D$22</f>
        <v>0.9</v>
      </c>
      <c r="E365" s="17" t="n">
        <f aca="false">Inputs!$E$22</f>
        <v>0.96</v>
      </c>
      <c r="F365" s="17" t="n">
        <f aca="false">Inputs!$F$22</f>
        <v>1.02</v>
      </c>
      <c r="G365" s="17" t="n">
        <f aca="false">Inputs!$G$22</f>
        <v>1.1</v>
      </c>
      <c r="H365" s="17" t="n">
        <f aca="false">Inputs!$H$22</f>
        <v>1.2</v>
      </c>
      <c r="I365" s="17" t="n">
        <f aca="false">Inputs!$I$22</f>
        <v>1.3</v>
      </c>
    </row>
    <row r="366" customFormat="false" ht="15" hidden="false" customHeight="false" outlineLevel="0" collapsed="false">
      <c r="B366" s="9" t="s">
        <v>248</v>
      </c>
      <c r="C366" s="20" t="s">
        <v>78</v>
      </c>
      <c r="D366" s="15" t="n">
        <f aca="false">D365*D349</f>
        <v>51.3</v>
      </c>
      <c r="E366" s="15" t="n">
        <f aca="false">E365*E349</f>
        <v>54.048</v>
      </c>
      <c r="F366" s="15" t="n">
        <f aca="false">F365*F349</f>
        <v>56.712</v>
      </c>
      <c r="G366" s="15" t="n">
        <f aca="false">G365*G349</f>
        <v>60.5</v>
      </c>
      <c r="H366" s="15" t="n">
        <f aca="false">H365*H349</f>
        <v>65.28</v>
      </c>
      <c r="I366" s="15" t="n">
        <f aca="false">I365*I349</f>
        <v>69.94</v>
      </c>
    </row>
    <row r="367" customFormat="false" ht="15" hidden="false" customHeight="false" outlineLevel="0" collapsed="false">
      <c r="B367" s="9" t="s">
        <v>48</v>
      </c>
      <c r="C367" s="20" t="s">
        <v>78</v>
      </c>
      <c r="D367" s="9"/>
      <c r="E367" s="9"/>
      <c r="F367" s="9"/>
      <c r="G367" s="15" t="n">
        <f aca="false">Inputs!$G$24</f>
        <v>55</v>
      </c>
      <c r="H367" s="15" t="n">
        <f aca="false">Inputs!$H$24</f>
        <v>55</v>
      </c>
      <c r="I367" s="15" t="n">
        <f aca="false">Inputs!$I$24</f>
        <v>55</v>
      </c>
    </row>
    <row r="368" customFormat="false" ht="15" hidden="false" customHeight="false" outlineLevel="0" collapsed="false">
      <c r="B368" s="26" t="s">
        <v>249</v>
      </c>
      <c r="C368" s="20" t="s">
        <v>78</v>
      </c>
      <c r="D368" s="27" t="n">
        <f aca="false">Inputs!$D$23</f>
        <v>1210</v>
      </c>
      <c r="E368" s="27" t="n">
        <f aca="false">Inputs!$E$23</f>
        <v>1160</v>
      </c>
      <c r="F368" s="27" t="n">
        <f aca="false">Inputs!$F$23</f>
        <v>1100</v>
      </c>
      <c r="G368" s="27" t="n">
        <f aca="false">F368-G362+G366+G367</f>
        <v>997.17405712</v>
      </c>
      <c r="H368" s="27" t="n">
        <f aca="false">G368-H362+H366+H367</f>
        <v>860.654004657504</v>
      </c>
      <c r="I368" s="27" t="n">
        <f aca="false">H368-I362+I366+I367</f>
        <v>695.656854988728</v>
      </c>
    </row>
    <row r="369" customFormat="false" ht="15" hidden="false" customHeight="false" outlineLevel="0" collapsed="false">
      <c r="B369" s="9" t="s">
        <v>250</v>
      </c>
      <c r="C369" s="20" t="s">
        <v>251</v>
      </c>
      <c r="D369" s="30" t="n">
        <f aca="false">D368/D340</f>
        <v>3.69815703413918</v>
      </c>
      <c r="E369" s="30" t="n">
        <f aca="false">E368/E340</f>
        <v>3.1863317355894</v>
      </c>
      <c r="F369" s="30" t="n">
        <f aca="false">F368/F340</f>
        <v>2.75551102204409</v>
      </c>
      <c r="G369" s="30" t="n">
        <f aca="false">G368/G340</f>
        <v>2.23631744735762</v>
      </c>
      <c r="H369" s="30" t="n">
        <f aca="false">H368/H340</f>
        <v>1.76021036826859</v>
      </c>
      <c r="I369" s="30" t="n">
        <f aca="false">I368/I340</f>
        <v>1.30530092918421</v>
      </c>
    </row>
    <row r="370" customFormat="false" ht="15" hidden="false" customHeight="false" outlineLevel="0" collapsed="false">
      <c r="B370" s="9" t="s">
        <v>252</v>
      </c>
      <c r="C370" s="20" t="s">
        <v>78</v>
      </c>
      <c r="D370" s="15" t="n">
        <f aca="false">D343*(1-Inputs!$D$79)+D339+D341-D360-D361</f>
        <v>186.5343</v>
      </c>
      <c r="E370" s="15" t="n">
        <f aca="false">E343*(1-Inputs!$D$79)+E339+E341-E360-E361</f>
        <v>200.94755</v>
      </c>
      <c r="F370" s="15" t="n">
        <f aca="false">F343*(1-Inputs!$D$79)+F339+F341-F360-F361</f>
        <v>221.352</v>
      </c>
      <c r="G370" s="15" t="n">
        <f aca="false">G343*(1-Inputs!$D$79)+G339+G341-G360-G361</f>
        <v>260.67594288</v>
      </c>
      <c r="H370" s="15" t="n">
        <f aca="false">H343*(1-Inputs!$D$79)+H339+H341-H360-H361</f>
        <v>295.191253661616</v>
      </c>
      <c r="I370" s="15" t="n">
        <f aca="false">I343*(1-Inputs!$D$79)+I339+I341-I360-I361</f>
        <v>323.07232884809</v>
      </c>
    </row>
    <row r="371" customFormat="false" ht="15" hidden="false" customHeight="false" outlineLevel="0" collapsed="false">
      <c r="B371" s="18" t="s">
        <v>253</v>
      </c>
      <c r="C371" s="19"/>
      <c r="D371" s="19"/>
      <c r="E371" s="19"/>
      <c r="F371" s="19"/>
      <c r="G371" s="19"/>
      <c r="H371" s="19"/>
      <c r="I371" s="19"/>
    </row>
    <row r="372" customFormat="false" ht="15" hidden="false" customHeight="false" outlineLevel="0" collapsed="false">
      <c r="B372" s="9" t="s">
        <v>254</v>
      </c>
      <c r="C372" s="20" t="s">
        <v>206</v>
      </c>
      <c r="D372" s="9"/>
      <c r="E372" s="14" t="n">
        <f aca="false">(E330-D330)/(E317-D317)</f>
        <v>0.241555555555556</v>
      </c>
      <c r="F372" s="14" t="n">
        <f aca="false">(F330-E330)/(F317-E317)</f>
        <v>0.254</v>
      </c>
      <c r="G372" s="14" t="n">
        <f aca="false">(G330-F330)/(G317-F317)</f>
        <v>0.482425531914894</v>
      </c>
      <c r="H372" s="14" t="n">
        <f aca="false">(H330-G330)/(H317-G317)</f>
        <v>0.245009900990099</v>
      </c>
      <c r="I372" s="14" t="n">
        <f aca="false">(I330-H330)/(I317-H317)</f>
        <v>0.237912087912088</v>
      </c>
    </row>
    <row r="373" customFormat="false" ht="15" hidden="false" customHeight="false" outlineLevel="0" collapsed="false">
      <c r="B373" s="9" t="s">
        <v>255</v>
      </c>
      <c r="C373" s="20" t="s">
        <v>206</v>
      </c>
      <c r="D373" s="9"/>
      <c r="E373" s="14" t="n">
        <f aca="false">(E332-D332)/(E321-D321)</f>
        <v>0.280090909090909</v>
      </c>
      <c r="F373" s="14" t="n">
        <f aca="false">(F332-E332)/(F321-E321)</f>
        <v>0.284454545454545</v>
      </c>
      <c r="G373" s="14" t="n">
        <f aca="false">(G332-F332)/(G321-F321)</f>
        <v>0.310485549132948</v>
      </c>
      <c r="H373" s="14" t="n">
        <f aca="false">(H332-G332)/(H321-G321)</f>
        <v>0.301398362892224</v>
      </c>
      <c r="I373" s="14" t="n">
        <f aca="false">(I332-H332)/(I321-H321)</f>
        <v>0.291576354679803</v>
      </c>
    </row>
    <row r="374" customFormat="false" ht="15" hidden="false" customHeight="false" outlineLevel="0" collapsed="false">
      <c r="B374" s="9" t="s">
        <v>256</v>
      </c>
      <c r="C374" s="20" t="s">
        <v>206</v>
      </c>
      <c r="D374" s="9"/>
      <c r="E374" s="14" t="n">
        <f aca="false">(E334-D334)/(E325-D325)</f>
        <v>0.298333333333333</v>
      </c>
      <c r="F374" s="14" t="n">
        <f aca="false">(F334-E334)/(F325-E325)</f>
        <v>0.308333333333333</v>
      </c>
      <c r="G374" s="14" t="n">
        <f aca="false">(G334-F334)/(G325-F325)</f>
        <v>0.285134831460674</v>
      </c>
      <c r="H374" s="14" t="n">
        <f aca="false">(H334-G334)/(H325-G325)</f>
        <v>0.285292730844794</v>
      </c>
      <c r="I374" s="14" t="n">
        <f aca="false">(I334-H334)/(I325-H325)</f>
        <v>0.274195153896529</v>
      </c>
    </row>
    <row r="375" customFormat="false" ht="15" hidden="false" customHeight="false" outlineLevel="0" collapsed="false">
      <c r="B375" s="9" t="s">
        <v>257</v>
      </c>
      <c r="C375" s="20" t="s">
        <v>206</v>
      </c>
      <c r="D375" s="9"/>
      <c r="E375" s="14" t="n">
        <f aca="false">(E337-D337)/(E326-D326)</f>
        <v>0.255576923076923</v>
      </c>
      <c r="F375" s="14" t="n">
        <f aca="false">(F337-E337)/(F326-E326)</f>
        <v>0.264875</v>
      </c>
      <c r="G375" s="14" t="n">
        <f aca="false">(G337-F337)/(G326-F326)</f>
        <v>0.342141779215015</v>
      </c>
      <c r="H375" s="14" t="n">
        <f aca="false">(H337-G337)/(H326-G326)</f>
        <v>0.265770305922773</v>
      </c>
      <c r="I375" s="14" t="n">
        <f aca="false">(I337-H337)/(I326-H326)</f>
        <v>0.255386599986295</v>
      </c>
    </row>
    <row r="377" customFormat="false" ht="15" hidden="false" customHeight="false" outlineLevel="0" collapsed="false">
      <c r="B377" s="7" t="s">
        <v>420</v>
      </c>
      <c r="C377" s="8"/>
      <c r="D377" s="8" t="s">
        <v>23</v>
      </c>
      <c r="E377" s="8" t="s">
        <v>24</v>
      </c>
      <c r="F377" s="8" t="s">
        <v>25</v>
      </c>
      <c r="G377" s="8" t="s">
        <v>26</v>
      </c>
      <c r="H377" s="8" t="s">
        <v>27</v>
      </c>
      <c r="I377" s="8" t="s">
        <v>28</v>
      </c>
    </row>
    <row r="378" customFormat="false" ht="15" hidden="false" customHeight="false" outlineLevel="0" collapsed="false">
      <c r="B378" s="18" t="s">
        <v>205</v>
      </c>
      <c r="C378" s="19"/>
      <c r="D378" s="19"/>
      <c r="E378" s="19"/>
      <c r="F378" s="19"/>
      <c r="G378" s="19"/>
      <c r="H378" s="19"/>
      <c r="I378" s="19"/>
    </row>
    <row r="379" customFormat="false" ht="15" hidden="false" customHeight="false" outlineLevel="0" collapsed="false">
      <c r="B379" s="9" t="s">
        <v>32</v>
      </c>
      <c r="C379" s="20" t="s">
        <v>206</v>
      </c>
      <c r="D379" s="14" t="n">
        <f aca="false">(1+D381)/(1+D380)-1</f>
        <v>0.0103708741165327</v>
      </c>
      <c r="E379" s="14" t="n">
        <f aca="false">(1+E381)/(1+E380)-1</f>
        <v>0.0128827483196416</v>
      </c>
      <c r="F379" s="14" t="n">
        <f aca="false">(1+F381)/(1+F380)-1</f>
        <v>0.00708103855232101</v>
      </c>
      <c r="G379" s="14" t="n">
        <f aca="false">Inputs!$G$8</f>
        <v>0.01</v>
      </c>
      <c r="H379" s="14" t="n">
        <f aca="false">Inputs!$H$8</f>
        <v>0.02</v>
      </c>
      <c r="I379" s="14" t="n">
        <f aca="false">Inputs!$I$8</f>
        <v>0.025</v>
      </c>
    </row>
    <row r="380" customFormat="false" ht="15" hidden="false" customHeight="false" outlineLevel="0" collapsed="false">
      <c r="B380" s="9" t="s">
        <v>35</v>
      </c>
      <c r="C380" s="20" t="s">
        <v>206</v>
      </c>
      <c r="D380" s="14" t="n">
        <f aca="false">Inputs!$D$11</f>
        <v>0.045</v>
      </c>
      <c r="E380" s="14" t="n">
        <f aca="false">Inputs!$E$11</f>
        <v>0.03</v>
      </c>
      <c r="F380" s="14" t="n">
        <f aca="false">Inputs!$F$11</f>
        <v>0.025</v>
      </c>
      <c r="G380" s="14" t="n">
        <f aca="false">Inputs!$G$11</f>
        <v>0.025</v>
      </c>
      <c r="H380" s="14" t="n">
        <f aca="false">Inputs!$H$11</f>
        <v>0.02</v>
      </c>
      <c r="I380" s="14" t="n">
        <f aca="false">Inputs!$I$11</f>
        <v>0.02</v>
      </c>
    </row>
    <row r="381" customFormat="false" ht="15" hidden="false" customHeight="false" outlineLevel="0" collapsed="false">
      <c r="B381" s="9" t="s">
        <v>207</v>
      </c>
      <c r="C381" s="20" t="s">
        <v>206</v>
      </c>
      <c r="D381" s="14" t="n">
        <f aca="false">D382/Inputs!$C$5-1</f>
        <v>0.0558375634517767</v>
      </c>
      <c r="E381" s="14" t="n">
        <f aca="false">E382/D382-1</f>
        <v>0.0432692307692308</v>
      </c>
      <c r="F381" s="14" t="n">
        <f aca="false">F382/E382-1</f>
        <v>0.032258064516129</v>
      </c>
      <c r="G381" s="14" t="n">
        <f aca="false">(1+G379)*(1+G380)-1</f>
        <v>0.03525</v>
      </c>
      <c r="H381" s="14" t="n">
        <f aca="false">(1+H379)*(1+H380)-1</f>
        <v>0.0404</v>
      </c>
      <c r="I381" s="14" t="n">
        <f aca="false">(1+I379)*(1+I380)-1</f>
        <v>0.0454999999999999</v>
      </c>
    </row>
    <row r="382" customFormat="false" ht="15" hidden="false" customHeight="false" outlineLevel="0" collapsed="false">
      <c r="B382" s="9" t="s">
        <v>208</v>
      </c>
      <c r="C382" s="20" t="s">
        <v>78</v>
      </c>
      <c r="D382" s="15" t="n">
        <f aca="false">Inputs!$D$5</f>
        <v>1040</v>
      </c>
      <c r="E382" s="15" t="n">
        <f aca="false">Inputs!$E$5</f>
        <v>1085</v>
      </c>
      <c r="F382" s="15" t="n">
        <f aca="false">Inputs!$F$5</f>
        <v>1120</v>
      </c>
      <c r="G382" s="15" t="n">
        <f aca="false">F382*(1+G381)</f>
        <v>1159.48</v>
      </c>
      <c r="H382" s="15" t="n">
        <f aca="false">G382*(1+H381)</f>
        <v>1206.322992</v>
      </c>
      <c r="I382" s="15" t="n">
        <f aca="false">H382*(1+I381)</f>
        <v>1261.210688136</v>
      </c>
    </row>
    <row r="383" customFormat="false" ht="15" hidden="false" customHeight="false" outlineLevel="0" collapsed="false">
      <c r="B383" s="9" t="s">
        <v>33</v>
      </c>
      <c r="C383" s="20" t="s">
        <v>206</v>
      </c>
      <c r="D383" s="14" t="n">
        <f aca="false">(1+D385)/(1+D384)-1</f>
        <v>0.0661409719987125</v>
      </c>
      <c r="E383" s="14" t="n">
        <f aca="false">(1+E385)/(1+E384)-1</f>
        <v>0.0716248397142334</v>
      </c>
      <c r="F383" s="14" t="n">
        <f aca="false">(1+F385)/(1+F384)-1</f>
        <v>0.0673337502605798</v>
      </c>
      <c r="G383" s="14" t="n">
        <f aca="false">Inputs!$G$9</f>
        <v>0.06</v>
      </c>
      <c r="H383" s="14" t="n">
        <f aca="false">Inputs!$H$9</f>
        <v>0.065</v>
      </c>
      <c r="I383" s="14" t="n">
        <f aca="false">Inputs!$I$9</f>
        <v>0.06</v>
      </c>
    </row>
    <row r="384" customFormat="false" ht="15" hidden="false" customHeight="false" outlineLevel="0" collapsed="false">
      <c r="B384" s="9" t="s">
        <v>36</v>
      </c>
      <c r="C384" s="20" t="s">
        <v>206</v>
      </c>
      <c r="D384" s="14" t="n">
        <f aca="false">Inputs!$D$12</f>
        <v>0.04</v>
      </c>
      <c r="E384" s="14" t="n">
        <f aca="false">Inputs!$E$12</f>
        <v>0.03</v>
      </c>
      <c r="F384" s="14" t="n">
        <f aca="false">Inputs!$F$12</f>
        <v>0.025</v>
      </c>
      <c r="G384" s="14" t="n">
        <f aca="false">Inputs!$G$12</f>
        <v>0.025</v>
      </c>
      <c r="H384" s="14" t="n">
        <f aca="false">Inputs!$H$12</f>
        <v>0.025</v>
      </c>
      <c r="I384" s="14" t="n">
        <f aca="false">Inputs!$I$12</f>
        <v>0.02</v>
      </c>
    </row>
    <row r="385" customFormat="false" ht="15" hidden="false" customHeight="false" outlineLevel="0" collapsed="false">
      <c r="B385" s="9" t="s">
        <v>209</v>
      </c>
      <c r="C385" s="20" t="s">
        <v>206</v>
      </c>
      <c r="D385" s="14" t="n">
        <f aca="false">D386/Inputs!$C$6-1</f>
        <v>0.108786610878661</v>
      </c>
      <c r="E385" s="14" t="n">
        <f aca="false">E386/D386-1</f>
        <v>0.10377358490566</v>
      </c>
      <c r="F385" s="14" t="n">
        <f aca="false">F386/E386-1</f>
        <v>0.0940170940170941</v>
      </c>
      <c r="G385" s="14" t="n">
        <f aca="false">(1+G383)*(1+G384)-1</f>
        <v>0.0865</v>
      </c>
      <c r="H385" s="14" t="n">
        <f aca="false">(1+H383)*(1+H384)-1</f>
        <v>0.0916249999999999</v>
      </c>
      <c r="I385" s="14" t="n">
        <f aca="false">(1+I383)*(1+I384)-1</f>
        <v>0.0812000000000002</v>
      </c>
    </row>
    <row r="386" customFormat="false" ht="15" hidden="false" customHeight="false" outlineLevel="0" collapsed="false">
      <c r="B386" s="9" t="s">
        <v>210</v>
      </c>
      <c r="C386" s="20" t="s">
        <v>78</v>
      </c>
      <c r="D386" s="15" t="n">
        <f aca="false">Inputs!$D$6</f>
        <v>530</v>
      </c>
      <c r="E386" s="15" t="n">
        <f aca="false">Inputs!$E$6</f>
        <v>585</v>
      </c>
      <c r="F386" s="15" t="n">
        <f aca="false">Inputs!$F$6</f>
        <v>640</v>
      </c>
      <c r="G386" s="15" t="n">
        <f aca="false">F386*(1+G385)</f>
        <v>695.36</v>
      </c>
      <c r="H386" s="15" t="n">
        <f aca="false">G386*(1+H385)</f>
        <v>759.07236</v>
      </c>
      <c r="I386" s="15" t="n">
        <f aca="false">H386*(1+I385)</f>
        <v>820.709035632</v>
      </c>
    </row>
    <row r="387" customFormat="false" ht="15" hidden="false" customHeight="false" outlineLevel="0" collapsed="false">
      <c r="B387" s="9" t="s">
        <v>34</v>
      </c>
      <c r="C387" s="20" t="s">
        <v>206</v>
      </c>
      <c r="D387" s="14" t="n">
        <f aca="false">(1+D389)/(1+D388)-1</f>
        <v>0.0281385281385282</v>
      </c>
      <c r="E387" s="14" t="n">
        <f aca="false">(1+E389)/(1+E388)-1</f>
        <v>0.0424612255275871</v>
      </c>
      <c r="F387" s="14" t="n">
        <f aca="false">(1+F389)/(1+F388)-1</f>
        <v>0.0419133317546767</v>
      </c>
      <c r="G387" s="14" t="n">
        <f aca="false">Inputs!$G$10</f>
        <v>0.04</v>
      </c>
      <c r="H387" s="14" t="n">
        <f aca="false">Inputs!$H$10</f>
        <v>0.045</v>
      </c>
      <c r="I387" s="14" t="n">
        <f aca="false">Inputs!$I$10</f>
        <v>0.045</v>
      </c>
    </row>
    <row r="388" customFormat="false" ht="15" hidden="false" customHeight="false" outlineLevel="0" collapsed="false">
      <c r="B388" s="9" t="s">
        <v>37</v>
      </c>
      <c r="C388" s="20" t="s">
        <v>206</v>
      </c>
      <c r="D388" s="14" t="n">
        <f aca="false">Inputs!$D$13</f>
        <v>0.05</v>
      </c>
      <c r="E388" s="14" t="n">
        <f aca="false">Inputs!$E$13</f>
        <v>0.035</v>
      </c>
      <c r="F388" s="14" t="n">
        <f aca="false">Inputs!$F$13</f>
        <v>0.03</v>
      </c>
      <c r="G388" s="14" t="n">
        <f aca="false">Inputs!$G$13</f>
        <v>0.03</v>
      </c>
      <c r="H388" s="14" t="n">
        <f aca="false">Inputs!$H$13</f>
        <v>0.03</v>
      </c>
      <c r="I388" s="14" t="n">
        <f aca="false">Inputs!$I$13</f>
        <v>0.03</v>
      </c>
    </row>
    <row r="389" customFormat="false" ht="15" hidden="false" customHeight="false" outlineLevel="0" collapsed="false">
      <c r="B389" s="9" t="s">
        <v>211</v>
      </c>
      <c r="C389" s="20" t="s">
        <v>206</v>
      </c>
      <c r="D389" s="14" t="n">
        <f aca="false">D390/Inputs!$C$7-1</f>
        <v>0.0795454545454546</v>
      </c>
      <c r="E389" s="14" t="n">
        <f aca="false">E390/D390-1</f>
        <v>0.0789473684210527</v>
      </c>
      <c r="F389" s="14" t="n">
        <f aca="false">F390/E390-1</f>
        <v>0.0731707317073171</v>
      </c>
      <c r="G389" s="14" t="n">
        <f aca="false">(1+G387)*(1+G388)-1</f>
        <v>0.0712000000000002</v>
      </c>
      <c r="H389" s="14" t="n">
        <f aca="false">(1+H387)*(1+H388)-1</f>
        <v>0.0763499999999999</v>
      </c>
      <c r="I389" s="14" t="n">
        <f aca="false">(1+I387)*(1+I388)-1</f>
        <v>0.0763499999999999</v>
      </c>
    </row>
    <row r="390" customFormat="false" ht="15" hidden="false" customHeight="false" outlineLevel="0" collapsed="false">
      <c r="B390" s="9" t="s">
        <v>212</v>
      </c>
      <c r="C390" s="20" t="s">
        <v>78</v>
      </c>
      <c r="D390" s="15" t="n">
        <f aca="false">Inputs!$D$7</f>
        <v>380</v>
      </c>
      <c r="E390" s="15" t="n">
        <f aca="false">Inputs!$E$7</f>
        <v>410</v>
      </c>
      <c r="F390" s="15" t="n">
        <f aca="false">Inputs!$F$7</f>
        <v>440</v>
      </c>
      <c r="G390" s="15" t="n">
        <f aca="false">F390*(1+G389)</f>
        <v>471.328</v>
      </c>
      <c r="H390" s="15" t="n">
        <f aca="false">G390*(1+H389)</f>
        <v>507.3138928</v>
      </c>
      <c r="I390" s="15" t="n">
        <f aca="false">H390*(1+I389)</f>
        <v>546.04730851528</v>
      </c>
    </row>
    <row r="391" customFormat="false" ht="15" hidden="false" customHeight="false" outlineLevel="0" collapsed="false">
      <c r="B391" s="26" t="s">
        <v>213</v>
      </c>
      <c r="C391" s="20" t="s">
        <v>78</v>
      </c>
      <c r="D391" s="27" t="n">
        <f aca="false">D382+D386+D390</f>
        <v>1950</v>
      </c>
      <c r="E391" s="27" t="n">
        <f aca="false">E382+E386+E390</f>
        <v>2080</v>
      </c>
      <c r="F391" s="27" t="n">
        <f aca="false">F382+F386+F390</f>
        <v>2200</v>
      </c>
      <c r="G391" s="27" t="n">
        <f aca="false">G382+G386+G390</f>
        <v>2326.168</v>
      </c>
      <c r="H391" s="27" t="n">
        <f aca="false">H382+H386+H390</f>
        <v>2472.7092448</v>
      </c>
      <c r="I391" s="27" t="n">
        <f aca="false">I382+I386+I390</f>
        <v>2627.96703228328</v>
      </c>
    </row>
    <row r="392" customFormat="false" ht="15" hidden="false" customHeight="false" outlineLevel="0" collapsed="false">
      <c r="B392" s="9" t="s">
        <v>214</v>
      </c>
      <c r="C392" s="20" t="s">
        <v>206</v>
      </c>
      <c r="D392" s="14" t="n">
        <f aca="false">D391/(Inputs!$C$5+Inputs!$C$6+Inputs!$C$7)-1</f>
        <v>0.0743801652892562</v>
      </c>
      <c r="E392" s="14" t="n">
        <f aca="false">E391/D391-1</f>
        <v>0.0666666666666667</v>
      </c>
      <c r="F392" s="14" t="n">
        <f aca="false">F391/E391-1</f>
        <v>0.0576923076923077</v>
      </c>
      <c r="G392" s="14" t="n">
        <f aca="false">G391/F391-1</f>
        <v>0.057349090909091</v>
      </c>
      <c r="H392" s="14" t="n">
        <f aca="false">H391/G391-1</f>
        <v>0.0629968449398324</v>
      </c>
      <c r="I392" s="14" t="n">
        <f aca="false">I391/H391-1</f>
        <v>0.062788533593175</v>
      </c>
    </row>
    <row r="393" customFormat="false" ht="15" hidden="false" customHeight="false" outlineLevel="0" collapsed="false">
      <c r="B393" s="18" t="s">
        <v>215</v>
      </c>
      <c r="C393" s="19"/>
      <c r="D393" s="19"/>
      <c r="E393" s="19"/>
      <c r="F393" s="19"/>
      <c r="G393" s="19"/>
      <c r="H393" s="19"/>
      <c r="I393" s="19"/>
    </row>
    <row r="394" customFormat="false" ht="15" hidden="false" customHeight="false" outlineLevel="0" collapsed="false">
      <c r="B394" s="9" t="s">
        <v>38</v>
      </c>
      <c r="C394" s="20" t="s">
        <v>206</v>
      </c>
      <c r="D394" s="14" t="n">
        <f aca="false">Inputs!$D$14</f>
        <v>0.121</v>
      </c>
      <c r="E394" s="14" t="n">
        <f aca="false">Inputs!$E$14</f>
        <v>0.126</v>
      </c>
      <c r="F394" s="14" t="n">
        <f aca="false">Inputs!$F$14</f>
        <v>0.13</v>
      </c>
      <c r="G394" s="14" t="n">
        <f aca="false">Inputs!$G$14</f>
        <v>0.132</v>
      </c>
      <c r="H394" s="14" t="n">
        <f aca="false">Inputs!$H$14</f>
        <v>0.136</v>
      </c>
      <c r="I394" s="14" t="n">
        <f aca="false">Inputs!$I$14</f>
        <v>0.14</v>
      </c>
    </row>
    <row r="395" customFormat="false" ht="15" hidden="false" customHeight="false" outlineLevel="0" collapsed="false">
      <c r="B395" s="9" t="s">
        <v>216</v>
      </c>
      <c r="C395" s="20" t="s">
        <v>78</v>
      </c>
      <c r="D395" s="15" t="n">
        <f aca="false">D382*D394</f>
        <v>125.84</v>
      </c>
      <c r="E395" s="15" t="n">
        <f aca="false">E382*E394</f>
        <v>136.71</v>
      </c>
      <c r="F395" s="15" t="n">
        <f aca="false">F382*F394</f>
        <v>145.6</v>
      </c>
      <c r="G395" s="15" t="n">
        <f aca="false">G382*G394</f>
        <v>153.05136</v>
      </c>
      <c r="H395" s="15" t="n">
        <f aca="false">H382*H394</f>
        <v>164.059926912</v>
      </c>
      <c r="I395" s="15" t="n">
        <f aca="false">I382*I394</f>
        <v>176.56949633904</v>
      </c>
    </row>
    <row r="396" customFormat="false" ht="15" hidden="false" customHeight="false" outlineLevel="0" collapsed="false">
      <c r="B396" s="9" t="s">
        <v>39</v>
      </c>
      <c r="C396" s="20" t="s">
        <v>206</v>
      </c>
      <c r="D396" s="14" t="n">
        <f aca="false">Inputs!$D$15</f>
        <v>0.195</v>
      </c>
      <c r="E396" s="14" t="n">
        <f aca="false">Inputs!$E$15</f>
        <v>0.203</v>
      </c>
      <c r="F396" s="14" t="n">
        <f aca="false">Inputs!$F$15</f>
        <v>0.21</v>
      </c>
      <c r="G396" s="14" t="n">
        <f aca="false">Inputs!$G$15</f>
        <v>0.218</v>
      </c>
      <c r="H396" s="14" t="n">
        <f aca="false">Inputs!$H$15</f>
        <v>0.225</v>
      </c>
      <c r="I396" s="14" t="n">
        <f aca="false">Inputs!$I$15</f>
        <v>0.23</v>
      </c>
    </row>
    <row r="397" customFormat="false" ht="15" hidden="false" customHeight="false" outlineLevel="0" collapsed="false">
      <c r="B397" s="9" t="s">
        <v>217</v>
      </c>
      <c r="C397" s="20" t="s">
        <v>78</v>
      </c>
      <c r="D397" s="15" t="n">
        <f aca="false">D386*D396</f>
        <v>103.35</v>
      </c>
      <c r="E397" s="15" t="n">
        <f aca="false">E386*E396</f>
        <v>118.755</v>
      </c>
      <c r="F397" s="15" t="n">
        <f aca="false">F386*F396</f>
        <v>134.4</v>
      </c>
      <c r="G397" s="15" t="n">
        <f aca="false">G386*G396</f>
        <v>151.58848</v>
      </c>
      <c r="H397" s="15" t="n">
        <f aca="false">H386*H396</f>
        <v>170.791281</v>
      </c>
      <c r="I397" s="15" t="n">
        <f aca="false">I386*I396</f>
        <v>188.76307819536</v>
      </c>
    </row>
    <row r="398" customFormat="false" ht="15" hidden="false" customHeight="false" outlineLevel="0" collapsed="false">
      <c r="B398" s="9" t="s">
        <v>40</v>
      </c>
      <c r="C398" s="20" t="s">
        <v>206</v>
      </c>
      <c r="D398" s="14" t="n">
        <f aca="false">Inputs!$D$16</f>
        <v>0.23</v>
      </c>
      <c r="E398" s="14" t="n">
        <f aca="false">Inputs!$E$16</f>
        <v>0.235</v>
      </c>
      <c r="F398" s="14" t="n">
        <f aca="false">Inputs!$F$16</f>
        <v>0.24</v>
      </c>
      <c r="G398" s="14" t="n">
        <f aca="false">(Inputs!$G$16+$D$5)</f>
        <v>0.253</v>
      </c>
      <c r="H398" s="14" t="n">
        <f aca="false">(Inputs!$H$16+$D$5)</f>
        <v>0.256</v>
      </c>
      <c r="I398" s="14" t="n">
        <f aca="false">(Inputs!$I$16+$D$5)</f>
        <v>0.258</v>
      </c>
    </row>
    <row r="399" customFormat="false" ht="15" hidden="false" customHeight="false" outlineLevel="0" collapsed="false">
      <c r="B399" s="9" t="s">
        <v>218</v>
      </c>
      <c r="C399" s="20" t="s">
        <v>78</v>
      </c>
      <c r="D399" s="15" t="n">
        <f aca="false">D390*D398</f>
        <v>87.4</v>
      </c>
      <c r="E399" s="15" t="n">
        <f aca="false">E390*E398</f>
        <v>96.35</v>
      </c>
      <c r="F399" s="15" t="n">
        <f aca="false">F390*F398</f>
        <v>105.6</v>
      </c>
      <c r="G399" s="15" t="n">
        <f aca="false">G390*G398</f>
        <v>119.245984</v>
      </c>
      <c r="H399" s="15" t="n">
        <f aca="false">H390*H398</f>
        <v>129.8723565568</v>
      </c>
      <c r="I399" s="15" t="n">
        <f aca="false">I390*I398</f>
        <v>140.880205596942</v>
      </c>
    </row>
    <row r="400" customFormat="false" ht="15" hidden="false" customHeight="false" outlineLevel="0" collapsed="false">
      <c r="B400" s="9" t="s">
        <v>219</v>
      </c>
      <c r="C400" s="20" t="s">
        <v>78</v>
      </c>
      <c r="D400" s="15" t="n">
        <f aca="false">D395+D397+D399</f>
        <v>316.59</v>
      </c>
      <c r="E400" s="15" t="n">
        <f aca="false">E395+E397+E399</f>
        <v>351.815</v>
      </c>
      <c r="F400" s="15" t="n">
        <f aca="false">F395+F397+F399</f>
        <v>385.6</v>
      </c>
      <c r="G400" s="15" t="n">
        <f aca="false">G395+G397+G399</f>
        <v>423.885824</v>
      </c>
      <c r="H400" s="15" t="n">
        <f aca="false">H395+H397+H399</f>
        <v>464.7235644688</v>
      </c>
      <c r="I400" s="15" t="n">
        <f aca="false">I395+I397+I399</f>
        <v>506.212780131342</v>
      </c>
    </row>
    <row r="401" customFormat="false" ht="15" hidden="false" customHeight="false" outlineLevel="0" collapsed="false">
      <c r="B401" s="9" t="s">
        <v>41</v>
      </c>
      <c r="C401" s="20" t="s">
        <v>78</v>
      </c>
      <c r="D401" s="15" t="n">
        <f aca="false">Inputs!$D$17</f>
        <v>44</v>
      </c>
      <c r="E401" s="15" t="n">
        <f aca="false">Inputs!$E$17</f>
        <v>46</v>
      </c>
      <c r="F401" s="15" t="n">
        <f aca="false">Inputs!$F$17</f>
        <v>48</v>
      </c>
      <c r="G401" s="15" t="n">
        <f aca="false">Inputs!$G$17</f>
        <v>50</v>
      </c>
      <c r="H401" s="15" t="n">
        <f aca="false">Inputs!$H$17</f>
        <v>52</v>
      </c>
      <c r="I401" s="15" t="n">
        <f aca="false">Inputs!$I$17</f>
        <v>54</v>
      </c>
    </row>
    <row r="402" customFormat="false" ht="15" hidden="false" customHeight="false" outlineLevel="0" collapsed="false">
      <c r="B402" s="26" t="s">
        <v>220</v>
      </c>
      <c r="C402" s="20" t="s">
        <v>78</v>
      </c>
      <c r="D402" s="27" t="n">
        <f aca="false">D400-D401</f>
        <v>272.59</v>
      </c>
      <c r="E402" s="27" t="n">
        <f aca="false">E400-E401</f>
        <v>305.815</v>
      </c>
      <c r="F402" s="27" t="n">
        <f aca="false">F400-F401</f>
        <v>337.6</v>
      </c>
      <c r="G402" s="27" t="n">
        <f aca="false">G400-G401</f>
        <v>373.885824</v>
      </c>
      <c r="H402" s="27" t="n">
        <f aca="false">H400-H401</f>
        <v>412.7235644688</v>
      </c>
      <c r="I402" s="27" t="n">
        <f aca="false">I400-I401</f>
        <v>452.212780131342</v>
      </c>
    </row>
    <row r="403" customFormat="false" ht="15" hidden="false" customHeight="false" outlineLevel="0" collapsed="false">
      <c r="B403" s="9" t="s">
        <v>221</v>
      </c>
      <c r="C403" s="20" t="s">
        <v>206</v>
      </c>
      <c r="D403" s="14" t="n">
        <f aca="false">D402/D391</f>
        <v>0.139789743589744</v>
      </c>
      <c r="E403" s="14" t="n">
        <f aca="false">E402/E391</f>
        <v>0.147026442307692</v>
      </c>
      <c r="F403" s="14" t="n">
        <f aca="false">F402/F391</f>
        <v>0.153454545454545</v>
      </c>
      <c r="G403" s="14" t="n">
        <f aca="false">G402/G391</f>
        <v>0.160730361693566</v>
      </c>
      <c r="H403" s="14" t="n">
        <f aca="false">H402/H391</f>
        <v>0.166911481945053</v>
      </c>
      <c r="I403" s="14" t="n">
        <f aca="false">I402/I391</f>
        <v>0.172077036955232</v>
      </c>
    </row>
    <row r="404" customFormat="false" ht="15" hidden="false" customHeight="false" outlineLevel="0" collapsed="false">
      <c r="B404" s="9" t="s">
        <v>222</v>
      </c>
      <c r="C404" s="20" t="s">
        <v>78</v>
      </c>
      <c r="D404" s="15" t="n">
        <f aca="false">D391*Inputs!$D$80</f>
        <v>54.6</v>
      </c>
      <c r="E404" s="15" t="n">
        <f aca="false">E391*Inputs!$D$80</f>
        <v>58.24</v>
      </c>
      <c r="F404" s="15" t="n">
        <f aca="false">F391*Inputs!$D$80</f>
        <v>61.6</v>
      </c>
      <c r="G404" s="15" t="n">
        <f aca="false">G391*Inputs!$D$80</f>
        <v>65.132704</v>
      </c>
      <c r="H404" s="15" t="n">
        <f aca="false">H391*Inputs!$D$80</f>
        <v>69.2358588544</v>
      </c>
      <c r="I404" s="15" t="n">
        <f aca="false">I391*Inputs!$D$80</f>
        <v>73.5830769039318</v>
      </c>
    </row>
    <row r="405" customFormat="false" ht="15" hidden="false" customHeight="false" outlineLevel="0" collapsed="false">
      <c r="B405" s="9" t="s">
        <v>223</v>
      </c>
      <c r="C405" s="20" t="s">
        <v>78</v>
      </c>
      <c r="D405" s="15" t="n">
        <f aca="false">D402+D404</f>
        <v>327.19</v>
      </c>
      <c r="E405" s="15" t="n">
        <f aca="false">E402+E404</f>
        <v>364.055</v>
      </c>
      <c r="F405" s="15" t="n">
        <f aca="false">F402+F404</f>
        <v>399.2</v>
      </c>
      <c r="G405" s="15" t="n">
        <f aca="false">G402+G404</f>
        <v>439.018528</v>
      </c>
      <c r="H405" s="15" t="n">
        <f aca="false">H402+H404</f>
        <v>481.9594233232</v>
      </c>
      <c r="I405" s="15" t="n">
        <f aca="false">I402+I404</f>
        <v>525.795857035274</v>
      </c>
    </row>
    <row r="406" customFormat="false" ht="15" hidden="false" customHeight="false" outlineLevel="0" collapsed="false">
      <c r="B406" s="9" t="s">
        <v>42</v>
      </c>
      <c r="C406" s="20" t="s">
        <v>78</v>
      </c>
      <c r="D406" s="15" t="n">
        <f aca="false">Inputs!$D$18</f>
        <v>38</v>
      </c>
      <c r="E406" s="15" t="n">
        <f aca="false">Inputs!$E$18</f>
        <v>38</v>
      </c>
      <c r="F406" s="15" t="n">
        <f aca="false">Inputs!$F$18</f>
        <v>38</v>
      </c>
      <c r="G406" s="15" t="n">
        <f aca="false">Inputs!$G$18</f>
        <v>38</v>
      </c>
      <c r="H406" s="15" t="n">
        <f aca="false">Inputs!$H$18</f>
        <v>36</v>
      </c>
      <c r="I406" s="15" t="n">
        <f aca="false">Inputs!$I$18</f>
        <v>34</v>
      </c>
    </row>
    <row r="407" customFormat="false" ht="15" hidden="false" customHeight="false" outlineLevel="0" collapsed="false">
      <c r="B407" s="9" t="s">
        <v>43</v>
      </c>
      <c r="C407" s="20" t="s">
        <v>78</v>
      </c>
      <c r="D407" s="15" t="n">
        <f aca="false">Inputs!$D$19</f>
        <v>0</v>
      </c>
      <c r="E407" s="15" t="n">
        <f aca="false">Inputs!$E$19</f>
        <v>15</v>
      </c>
      <c r="F407" s="15" t="n">
        <f aca="false">Inputs!$F$19</f>
        <v>22</v>
      </c>
      <c r="G407" s="15" t="n">
        <f aca="false">Inputs!$G$19</f>
        <v>12</v>
      </c>
      <c r="H407" s="15" t="n">
        <f aca="false">Inputs!$H$19</f>
        <v>0</v>
      </c>
      <c r="I407" s="15" t="n">
        <f aca="false">Inputs!$I$19</f>
        <v>0</v>
      </c>
    </row>
    <row r="408" customFormat="false" ht="15" hidden="false" customHeight="false" outlineLevel="0" collapsed="false">
      <c r="B408" s="9" t="s">
        <v>224</v>
      </c>
      <c r="C408" s="20" t="s">
        <v>78</v>
      </c>
      <c r="D408" s="15" t="n">
        <f aca="false">D402-D406-D407</f>
        <v>234.59</v>
      </c>
      <c r="E408" s="15" t="n">
        <f aca="false">E402-E406-E407</f>
        <v>252.815</v>
      </c>
      <c r="F408" s="15" t="n">
        <f aca="false">F402-F406-F407</f>
        <v>277.6</v>
      </c>
      <c r="G408" s="15" t="n">
        <f aca="false">G402-G406-G407</f>
        <v>323.885824</v>
      </c>
      <c r="H408" s="15" t="n">
        <f aca="false">H402-H406-H407</f>
        <v>376.7235644688</v>
      </c>
      <c r="I408" s="15" t="n">
        <f aca="false">I402-I406-I407</f>
        <v>418.212780131342</v>
      </c>
    </row>
    <row r="409" customFormat="false" ht="15" hidden="false" customHeight="false" outlineLevel="0" collapsed="false">
      <c r="B409" s="18" t="s">
        <v>225</v>
      </c>
      <c r="C409" s="19"/>
      <c r="D409" s="19"/>
      <c r="E409" s="19"/>
      <c r="F409" s="19"/>
      <c r="G409" s="19"/>
      <c r="H409" s="19"/>
      <c r="I409" s="19"/>
    </row>
    <row r="410" customFormat="false" ht="15" hidden="false" customHeight="false" outlineLevel="0" collapsed="false">
      <c r="B410" s="9" t="s">
        <v>226</v>
      </c>
      <c r="C410" s="20" t="s">
        <v>78</v>
      </c>
      <c r="D410" s="15" t="n">
        <f aca="false">Inputs!$D$20</f>
        <v>58</v>
      </c>
      <c r="E410" s="15" t="n">
        <f aca="false">Inputs!$E$20</f>
        <v>55</v>
      </c>
      <c r="F410" s="15" t="n">
        <f aca="false">Inputs!$F$20</f>
        <v>52</v>
      </c>
      <c r="G410" s="15" t="n">
        <f aca="false">F433*Inputs!$D$83</f>
        <v>55</v>
      </c>
      <c r="H410" s="15" t="n">
        <f aca="false">G433*Inputs!$D$83</f>
        <v>50.123641376</v>
      </c>
      <c r="I410" s="15" t="n">
        <f aca="false">H433*Inputs!$D$83</f>
        <v>43.5769573890872</v>
      </c>
    </row>
    <row r="411" customFormat="false" ht="15" hidden="false" customHeight="false" outlineLevel="0" collapsed="false">
      <c r="B411" s="9" t="s">
        <v>227</v>
      </c>
      <c r="C411" s="20" t="s">
        <v>78</v>
      </c>
      <c r="D411" s="15" t="n">
        <f aca="false">D408-D410</f>
        <v>176.59</v>
      </c>
      <c r="E411" s="15" t="n">
        <f aca="false">E408-E410</f>
        <v>197.815</v>
      </c>
      <c r="F411" s="15" t="n">
        <f aca="false">F408-F410</f>
        <v>225.6</v>
      </c>
      <c r="G411" s="15" t="n">
        <f aca="false">G408-G410</f>
        <v>268.885824</v>
      </c>
      <c r="H411" s="15" t="n">
        <f aca="false">H408-H410</f>
        <v>326.5999230928</v>
      </c>
      <c r="I411" s="15" t="n">
        <f aca="false">I408-I410</f>
        <v>374.635822742255</v>
      </c>
    </row>
    <row r="412" customFormat="false" ht="15" hidden="false" customHeight="false" outlineLevel="0" collapsed="false">
      <c r="B412" s="9" t="s">
        <v>228</v>
      </c>
      <c r="C412" s="20" t="s">
        <v>78</v>
      </c>
      <c r="D412" s="15" t="n">
        <f aca="false">D411*Inputs!$D$79</f>
        <v>40.6157</v>
      </c>
      <c r="E412" s="15" t="n">
        <f aca="false">E411*Inputs!$D$79</f>
        <v>45.49745</v>
      </c>
      <c r="F412" s="15" t="n">
        <f aca="false">F411*Inputs!$D$79</f>
        <v>51.888</v>
      </c>
      <c r="G412" s="15" t="n">
        <f aca="false">G411*Inputs!$D$79</f>
        <v>61.84373952</v>
      </c>
      <c r="H412" s="15" t="n">
        <f aca="false">H411*Inputs!$D$79</f>
        <v>75.117982311344</v>
      </c>
      <c r="I412" s="15" t="n">
        <f aca="false">I411*Inputs!$D$79</f>
        <v>86.1662392307187</v>
      </c>
    </row>
    <row r="413" customFormat="false" ht="15" hidden="false" customHeight="false" outlineLevel="0" collapsed="false">
      <c r="B413" s="9" t="s">
        <v>229</v>
      </c>
      <c r="C413" s="20" t="s">
        <v>78</v>
      </c>
      <c r="D413" s="15" t="n">
        <f aca="false">D411-D412</f>
        <v>135.9743</v>
      </c>
      <c r="E413" s="15" t="n">
        <f aca="false">E411-E412</f>
        <v>152.31755</v>
      </c>
      <c r="F413" s="15" t="n">
        <f aca="false">F411-F412</f>
        <v>173.712</v>
      </c>
      <c r="G413" s="15" t="n">
        <f aca="false">G411-G412</f>
        <v>207.04208448</v>
      </c>
      <c r="H413" s="15" t="n">
        <f aca="false">H411-H412</f>
        <v>251.481940781456</v>
      </c>
      <c r="I413" s="15" t="n">
        <f aca="false">I411-I412</f>
        <v>288.469583511536</v>
      </c>
    </row>
    <row r="414" customFormat="false" ht="15" hidden="false" customHeight="false" outlineLevel="0" collapsed="false">
      <c r="B414" s="9" t="s">
        <v>230</v>
      </c>
      <c r="C414" s="20" t="s">
        <v>231</v>
      </c>
      <c r="D414" s="16" t="n">
        <f aca="false">Inputs!$D$21</f>
        <v>57</v>
      </c>
      <c r="E414" s="16" t="n">
        <f aca="false">Inputs!$E$21</f>
        <v>56.3</v>
      </c>
      <c r="F414" s="16" t="n">
        <f aca="false">Inputs!$F$21</f>
        <v>55.6</v>
      </c>
      <c r="G414" s="16" t="n">
        <f aca="false">Inputs!$G$21</f>
        <v>55</v>
      </c>
      <c r="H414" s="16" t="n">
        <f aca="false">Inputs!$H$21</f>
        <v>54.4</v>
      </c>
      <c r="I414" s="16" t="n">
        <f aca="false">Inputs!$I$21</f>
        <v>53.8</v>
      </c>
    </row>
    <row r="415" customFormat="false" ht="15" hidden="false" customHeight="false" outlineLevel="0" collapsed="false">
      <c r="B415" s="26" t="s">
        <v>232</v>
      </c>
      <c r="C415" s="20" t="s">
        <v>61</v>
      </c>
      <c r="D415" s="28" t="n">
        <f aca="false">D413/D414</f>
        <v>2.38551403508772</v>
      </c>
      <c r="E415" s="28" t="n">
        <f aca="false">E413/E414</f>
        <v>2.70546269982238</v>
      </c>
      <c r="F415" s="28" t="n">
        <f aca="false">F413/F414</f>
        <v>3.12431654676259</v>
      </c>
      <c r="G415" s="28" t="n">
        <f aca="false">G413/G414</f>
        <v>3.764401536</v>
      </c>
      <c r="H415" s="28" t="n">
        <f aca="false">H413/H414</f>
        <v>4.62282979377677</v>
      </c>
      <c r="I415" s="28" t="n">
        <f aca="false">I413/I414</f>
        <v>5.36188816935941</v>
      </c>
    </row>
    <row r="416" customFormat="false" ht="15" hidden="false" customHeight="false" outlineLevel="0" collapsed="false">
      <c r="B416" s="18" t="s">
        <v>233</v>
      </c>
      <c r="C416" s="19"/>
      <c r="D416" s="19"/>
      <c r="E416" s="19"/>
      <c r="F416" s="19"/>
      <c r="G416" s="19"/>
      <c r="H416" s="19"/>
      <c r="I416" s="19"/>
    </row>
    <row r="417" customFormat="false" ht="15" hidden="false" customHeight="false" outlineLevel="0" collapsed="false">
      <c r="B417" s="9" t="s">
        <v>234</v>
      </c>
      <c r="C417" s="20" t="s">
        <v>61</v>
      </c>
      <c r="D417" s="17" t="n">
        <f aca="false">D406*(1-Inputs!$D$79)/D414</f>
        <v>0.513333333333333</v>
      </c>
      <c r="E417" s="17" t="n">
        <f aca="false">E406*(1-Inputs!$D$79)/E414</f>
        <v>0.519715808170515</v>
      </c>
      <c r="F417" s="17" t="n">
        <f aca="false">F406*(1-Inputs!$D$79)/F414</f>
        <v>0.526258992805755</v>
      </c>
      <c r="G417" s="17" t="n">
        <f aca="false">G406*(1-Inputs!$D$79)/G414</f>
        <v>0.532</v>
      </c>
      <c r="H417" s="17" t="n">
        <f aca="false">H406*(1-Inputs!$D$79)/H414</f>
        <v>0.509558823529412</v>
      </c>
      <c r="I417" s="17" t="n">
        <f aca="false">I406*(1-Inputs!$D$79)/I414</f>
        <v>0.486617100371747</v>
      </c>
    </row>
    <row r="418" customFormat="false" ht="15" hidden="false" customHeight="false" outlineLevel="0" collapsed="false">
      <c r="B418" s="9" t="s">
        <v>235</v>
      </c>
      <c r="C418" s="20" t="s">
        <v>61</v>
      </c>
      <c r="D418" s="17" t="n">
        <f aca="false">D407*(1-Inputs!$D$79)/D414</f>
        <v>0</v>
      </c>
      <c r="E418" s="17" t="n">
        <f aca="false">E407*(1-Inputs!$D$79)/E414</f>
        <v>0.205150976909414</v>
      </c>
      <c r="F418" s="17" t="n">
        <f aca="false">F407*(1-Inputs!$D$79)/F414</f>
        <v>0.304676258992806</v>
      </c>
      <c r="G418" s="17" t="n">
        <f aca="false">G407*(1-Inputs!$D$79)/G414</f>
        <v>0.168</v>
      </c>
      <c r="H418" s="17" t="n">
        <f aca="false">H407*(1-Inputs!$D$79)/H414</f>
        <v>0</v>
      </c>
      <c r="I418" s="17" t="n">
        <f aca="false">I407*(1-Inputs!$D$79)/I414</f>
        <v>0</v>
      </c>
    </row>
    <row r="419" customFormat="false" ht="15" hidden="false" customHeight="false" outlineLevel="0" collapsed="false">
      <c r="B419" s="9" t="s">
        <v>236</v>
      </c>
      <c r="C419" s="20" t="s">
        <v>78</v>
      </c>
      <c r="D419" s="15" t="n">
        <f aca="false">(D406+D407)*(1-Inputs!$D$79)</f>
        <v>29.26</v>
      </c>
      <c r="E419" s="15" t="n">
        <f aca="false">(E406+E407)*(1-Inputs!$D$79)</f>
        <v>40.81</v>
      </c>
      <c r="F419" s="15" t="n">
        <f aca="false">(F406+F407)*(1-Inputs!$D$79)</f>
        <v>46.2</v>
      </c>
      <c r="G419" s="15" t="n">
        <f aca="false">(G406+G407)*(1-Inputs!$D$79)</f>
        <v>38.5</v>
      </c>
      <c r="H419" s="15" t="n">
        <f aca="false">(H406+H407)*(1-Inputs!$D$79)</f>
        <v>27.72</v>
      </c>
      <c r="I419" s="15" t="n">
        <f aca="false">(I406+I407)*(1-Inputs!$D$79)</f>
        <v>26.18</v>
      </c>
    </row>
    <row r="420" customFormat="false" ht="15" hidden="false" customHeight="false" outlineLevel="0" collapsed="false">
      <c r="B420" s="9" t="s">
        <v>237</v>
      </c>
      <c r="C420" s="20" t="s">
        <v>78</v>
      </c>
      <c r="D420" s="15" t="n">
        <f aca="false">D413+D419</f>
        <v>165.2343</v>
      </c>
      <c r="E420" s="15" t="n">
        <f aca="false">E413+E419</f>
        <v>193.12755</v>
      </c>
      <c r="F420" s="15" t="n">
        <f aca="false">F413+F419</f>
        <v>219.912</v>
      </c>
      <c r="G420" s="15" t="n">
        <f aca="false">G413+G419</f>
        <v>245.54208448</v>
      </c>
      <c r="H420" s="15" t="n">
        <f aca="false">H413+H419</f>
        <v>279.201940781456</v>
      </c>
      <c r="I420" s="15" t="n">
        <f aca="false">I413+I419</f>
        <v>314.649583511536</v>
      </c>
    </row>
    <row r="421" customFormat="false" ht="15" hidden="false" customHeight="false" outlineLevel="0" collapsed="false">
      <c r="B421" s="26" t="s">
        <v>238</v>
      </c>
      <c r="C421" s="20" t="s">
        <v>61</v>
      </c>
      <c r="D421" s="28" t="n">
        <f aca="false">D420/D414</f>
        <v>2.89884736842105</v>
      </c>
      <c r="E421" s="28" t="n">
        <f aca="false">E420/E414</f>
        <v>3.43032948490231</v>
      </c>
      <c r="F421" s="28" t="n">
        <f aca="false">F420/F414</f>
        <v>3.95525179856115</v>
      </c>
      <c r="G421" s="28" t="n">
        <f aca="false">G420/G414</f>
        <v>4.464401536</v>
      </c>
      <c r="H421" s="28" t="n">
        <f aca="false">H420/H414</f>
        <v>5.13238861730618</v>
      </c>
      <c r="I421" s="28" t="n">
        <f aca="false">I420/I414</f>
        <v>5.84850526973116</v>
      </c>
    </row>
    <row r="422" customFormat="false" ht="15" hidden="false" customHeight="false" outlineLevel="0" collapsed="false">
      <c r="B422" s="9" t="s">
        <v>239</v>
      </c>
      <c r="C422" s="20" t="s">
        <v>206</v>
      </c>
      <c r="D422" s="9"/>
      <c r="E422" s="14" t="n">
        <f aca="false">E421/D421-1</f>
        <v>0.183342566521791</v>
      </c>
      <c r="F422" s="14" t="n">
        <f aca="false">F421/E421-1</f>
        <v>0.153023875977264</v>
      </c>
      <c r="G422" s="14" t="n">
        <f aca="false">G421/F421-1</f>
        <v>0.128727515558951</v>
      </c>
      <c r="H422" s="14" t="n">
        <f aca="false">H421/G421-1</f>
        <v>0.149625224326187</v>
      </c>
      <c r="I422" s="14" t="n">
        <f aca="false">I421/H421-1</f>
        <v>0.139528922266383</v>
      </c>
    </row>
    <row r="423" customFormat="false" ht="15" hidden="false" customHeight="false" outlineLevel="0" collapsed="false">
      <c r="B423" s="9" t="s">
        <v>240</v>
      </c>
      <c r="C423" s="20" t="s">
        <v>206</v>
      </c>
      <c r="D423" s="14" t="n">
        <f aca="false">D421/D415-1</f>
        <v>0.215187722974121</v>
      </c>
      <c r="E423" s="14" t="n">
        <f aca="false">E421/E415-1</f>
        <v>0.267927103606906</v>
      </c>
      <c r="F423" s="14" t="n">
        <f aca="false">F421/F415-1</f>
        <v>0.265957446808511</v>
      </c>
      <c r="G423" s="14" t="n">
        <f aca="false">G421/G415-1</f>
        <v>0.185952532774655</v>
      </c>
      <c r="H423" s="14" t="n">
        <f aca="false">H421/H415-1</f>
        <v>0.110226602808387</v>
      </c>
      <c r="I423" s="14" t="n">
        <f aca="false">I421/I415-1</f>
        <v>0.0907548022266722</v>
      </c>
    </row>
    <row r="424" customFormat="false" ht="15" hidden="false" customHeight="false" outlineLevel="0" collapsed="false">
      <c r="B424" s="18" t="s">
        <v>241</v>
      </c>
      <c r="C424" s="19"/>
      <c r="D424" s="19"/>
      <c r="E424" s="19"/>
      <c r="F424" s="19"/>
      <c r="G424" s="19"/>
      <c r="H424" s="19"/>
      <c r="I424" s="19"/>
    </row>
    <row r="425" customFormat="false" ht="15" hidden="false" customHeight="false" outlineLevel="0" collapsed="false">
      <c r="B425" s="9" t="s">
        <v>242</v>
      </c>
      <c r="C425" s="20" t="s">
        <v>78</v>
      </c>
      <c r="D425" s="15" t="n">
        <f aca="false">D391*Inputs!$D$81</f>
        <v>62.4</v>
      </c>
      <c r="E425" s="15" t="n">
        <f aca="false">E391*Inputs!$D$81</f>
        <v>66.56</v>
      </c>
      <c r="F425" s="15" t="n">
        <f aca="false">F391*Inputs!$D$81</f>
        <v>70.4</v>
      </c>
      <c r="G425" s="15" t="n">
        <f aca="false">G391*Inputs!$D$81</f>
        <v>74.437376</v>
      </c>
      <c r="H425" s="15" t="n">
        <f aca="false">H391*Inputs!$D$81</f>
        <v>79.1266958336</v>
      </c>
      <c r="I425" s="15" t="n">
        <f aca="false">I391*Inputs!$D$81</f>
        <v>84.094945033065</v>
      </c>
    </row>
    <row r="426" customFormat="false" ht="15" hidden="false" customHeight="false" outlineLevel="0" collapsed="false">
      <c r="B426" s="9" t="s">
        <v>243</v>
      </c>
      <c r="C426" s="20" t="s">
        <v>78</v>
      </c>
      <c r="D426" s="15" t="n">
        <f aca="false">(D391-(Inputs!$C$5+Inputs!$C$6+Inputs!$C$7))*Inputs!$D$82</f>
        <v>24.3</v>
      </c>
      <c r="E426" s="15" t="n">
        <f aca="false">(E391-D391)*Inputs!$D$82</f>
        <v>23.4</v>
      </c>
      <c r="F426" s="15" t="n">
        <f aca="false">(F391-E391)*Inputs!$D$82</f>
        <v>21.6</v>
      </c>
      <c r="G426" s="15" t="n">
        <f aca="false">(G391-F391)*Inputs!$D$82</f>
        <v>22.71024</v>
      </c>
      <c r="H426" s="15" t="n">
        <f aca="false">(H391-G391)*Inputs!$D$82</f>
        <v>26.377424064</v>
      </c>
      <c r="I426" s="15" t="n">
        <f aca="false">(I391-H391)*Inputs!$D$82</f>
        <v>27.9464017469903</v>
      </c>
    </row>
    <row r="427" customFormat="false" ht="15" hidden="false" customHeight="false" outlineLevel="0" collapsed="false">
      <c r="B427" s="26" t="s">
        <v>244</v>
      </c>
      <c r="C427" s="20" t="s">
        <v>78</v>
      </c>
      <c r="D427" s="27" t="n">
        <f aca="false">D413+D404+D406-D425-D426</f>
        <v>141.8743</v>
      </c>
      <c r="E427" s="27" t="n">
        <f aca="false">E413+E404+E406-E425-E426</f>
        <v>158.59755</v>
      </c>
      <c r="F427" s="27" t="n">
        <f aca="false">F413+F404+F406-F425-F426</f>
        <v>181.312</v>
      </c>
      <c r="G427" s="27" t="n">
        <f aca="false">G413+G404+G406-G425-G426</f>
        <v>213.02717248</v>
      </c>
      <c r="H427" s="27" t="n">
        <f aca="false">H413+H404+H406-H425-H426</f>
        <v>251.213679738256</v>
      </c>
      <c r="I427" s="27" t="n">
        <f aca="false">I413+I404+I406-I425-I426</f>
        <v>284.011313635413</v>
      </c>
    </row>
    <row r="428" customFormat="false" ht="15" hidden="false" customHeight="false" outlineLevel="0" collapsed="false">
      <c r="B428" s="9" t="s">
        <v>245</v>
      </c>
      <c r="C428" s="20" t="s">
        <v>206</v>
      </c>
      <c r="D428" s="29" t="n">
        <f aca="false">D427/D420</f>
        <v>0.85862499493144</v>
      </c>
      <c r="E428" s="29" t="n">
        <f aca="false">E427/E420</f>
        <v>0.821206244267066</v>
      </c>
      <c r="F428" s="29" t="n">
        <f aca="false">F427/F420</f>
        <v>0.824475244643312</v>
      </c>
      <c r="G428" s="29" t="n">
        <f aca="false">G427/G420</f>
        <v>0.867579066664442</v>
      </c>
      <c r="H428" s="29" t="n">
        <f aca="false">H427/H420</f>
        <v>0.899756208839867</v>
      </c>
      <c r="I428" s="29" t="n">
        <f aca="false">I427/I420</f>
        <v>0.902627330587265</v>
      </c>
    </row>
    <row r="429" customFormat="false" ht="15" hidden="false" customHeight="false" outlineLevel="0" collapsed="false">
      <c r="B429" s="9" t="s">
        <v>246</v>
      </c>
      <c r="C429" s="20" t="s">
        <v>61</v>
      </c>
      <c r="D429" s="17" t="n">
        <f aca="false">D427/D414</f>
        <v>2.48902280701754</v>
      </c>
      <c r="E429" s="17" t="n">
        <f aca="false">E427/E414</f>
        <v>2.81700799289521</v>
      </c>
      <c r="F429" s="17" t="n">
        <f aca="false">F427/F414</f>
        <v>3.2610071942446</v>
      </c>
      <c r="G429" s="17" t="n">
        <f aca="false">G427/G414</f>
        <v>3.87322131781818</v>
      </c>
      <c r="H429" s="17" t="n">
        <f aca="false">H427/H414</f>
        <v>4.61789852460029</v>
      </c>
      <c r="I429" s="17" t="n">
        <f aca="false">I427/I414</f>
        <v>5.27902069954299</v>
      </c>
    </row>
    <row r="430" customFormat="false" ht="15" hidden="false" customHeight="false" outlineLevel="0" collapsed="false">
      <c r="B430" s="9" t="s">
        <v>247</v>
      </c>
      <c r="C430" s="20" t="s">
        <v>61</v>
      </c>
      <c r="D430" s="17" t="n">
        <f aca="false">Inputs!$D$22</f>
        <v>0.9</v>
      </c>
      <c r="E430" s="17" t="n">
        <f aca="false">Inputs!$E$22</f>
        <v>0.96</v>
      </c>
      <c r="F430" s="17" t="n">
        <f aca="false">Inputs!$F$22</f>
        <v>1.02</v>
      </c>
      <c r="G430" s="17" t="n">
        <f aca="false">Inputs!$G$22</f>
        <v>1.1</v>
      </c>
      <c r="H430" s="17" t="n">
        <f aca="false">Inputs!$H$22</f>
        <v>1.2</v>
      </c>
      <c r="I430" s="17" t="n">
        <f aca="false">Inputs!$I$22</f>
        <v>1.3</v>
      </c>
    </row>
    <row r="431" customFormat="false" ht="15" hidden="false" customHeight="false" outlineLevel="0" collapsed="false">
      <c r="B431" s="9" t="s">
        <v>248</v>
      </c>
      <c r="C431" s="20" t="s">
        <v>78</v>
      </c>
      <c r="D431" s="15" t="n">
        <f aca="false">D430*D414</f>
        <v>51.3</v>
      </c>
      <c r="E431" s="15" t="n">
        <f aca="false">E430*E414</f>
        <v>54.048</v>
      </c>
      <c r="F431" s="15" t="n">
        <f aca="false">F430*F414</f>
        <v>56.712</v>
      </c>
      <c r="G431" s="15" t="n">
        <f aca="false">G430*G414</f>
        <v>60.5</v>
      </c>
      <c r="H431" s="15" t="n">
        <f aca="false">H430*H414</f>
        <v>65.28</v>
      </c>
      <c r="I431" s="15" t="n">
        <f aca="false">I430*I414</f>
        <v>69.94</v>
      </c>
    </row>
    <row r="432" customFormat="false" ht="15" hidden="false" customHeight="false" outlineLevel="0" collapsed="false">
      <c r="B432" s="9" t="s">
        <v>48</v>
      </c>
      <c r="C432" s="20" t="s">
        <v>78</v>
      </c>
      <c r="D432" s="9"/>
      <c r="E432" s="9"/>
      <c r="F432" s="9"/>
      <c r="G432" s="15" t="n">
        <f aca="false">Inputs!$G$24</f>
        <v>55</v>
      </c>
      <c r="H432" s="15" t="n">
        <f aca="false">Inputs!$H$24</f>
        <v>55</v>
      </c>
      <c r="I432" s="15" t="n">
        <f aca="false">Inputs!$I$24</f>
        <v>55</v>
      </c>
    </row>
    <row r="433" customFormat="false" ht="15" hidden="false" customHeight="false" outlineLevel="0" collapsed="false">
      <c r="B433" s="26" t="s">
        <v>249</v>
      </c>
      <c r="C433" s="20" t="s">
        <v>78</v>
      </c>
      <c r="D433" s="27" t="n">
        <f aca="false">Inputs!$D$23</f>
        <v>1210</v>
      </c>
      <c r="E433" s="27" t="n">
        <f aca="false">Inputs!$E$23</f>
        <v>1160</v>
      </c>
      <c r="F433" s="27" t="n">
        <f aca="false">Inputs!$F$23</f>
        <v>1100</v>
      </c>
      <c r="G433" s="27" t="n">
        <f aca="false">F433-G427+G431+G432</f>
        <v>1002.47282752</v>
      </c>
      <c r="H433" s="27" t="n">
        <f aca="false">G433-H427+H431+H432</f>
        <v>871.539147781744</v>
      </c>
      <c r="I433" s="27" t="n">
        <f aca="false">H433-I427+I431+I432</f>
        <v>712.467834146331</v>
      </c>
    </row>
    <row r="434" customFormat="false" ht="15" hidden="false" customHeight="false" outlineLevel="0" collapsed="false">
      <c r="B434" s="9" t="s">
        <v>250</v>
      </c>
      <c r="C434" s="20" t="s">
        <v>251</v>
      </c>
      <c r="D434" s="30" t="n">
        <f aca="false">D433/D405</f>
        <v>3.69815703413918</v>
      </c>
      <c r="E434" s="30" t="n">
        <f aca="false">E433/E405</f>
        <v>3.1863317355894</v>
      </c>
      <c r="F434" s="30" t="n">
        <f aca="false">F433/F405</f>
        <v>2.75551102204409</v>
      </c>
      <c r="G434" s="30" t="n">
        <f aca="false">G433/G405</f>
        <v>2.28344081988266</v>
      </c>
      <c r="H434" s="30" t="n">
        <f aca="false">H433/H405</f>
        <v>1.80832473773896</v>
      </c>
      <c r="I434" s="30" t="n">
        <f aca="false">I433/I405</f>
        <v>1.35502747808554</v>
      </c>
    </row>
    <row r="435" customFormat="false" ht="15" hidden="false" customHeight="false" outlineLevel="0" collapsed="false">
      <c r="B435" s="9" t="s">
        <v>252</v>
      </c>
      <c r="C435" s="20" t="s">
        <v>78</v>
      </c>
      <c r="D435" s="15" t="n">
        <f aca="false">D408*(1-Inputs!$D$79)+D404+D406-D425-D426</f>
        <v>186.5343</v>
      </c>
      <c r="E435" s="15" t="n">
        <f aca="false">E408*(1-Inputs!$D$79)+E404+E406-E425-E426</f>
        <v>200.94755</v>
      </c>
      <c r="F435" s="15" t="n">
        <f aca="false">F408*(1-Inputs!$D$79)+F404+F406-F425-F426</f>
        <v>221.352</v>
      </c>
      <c r="G435" s="15" t="n">
        <f aca="false">G408*(1-Inputs!$D$79)+G404+G406-G425-G426</f>
        <v>255.37717248</v>
      </c>
      <c r="H435" s="15" t="n">
        <f aca="false">H408*(1-Inputs!$D$79)+H404+H406-H425-H426</f>
        <v>289.808883597776</v>
      </c>
      <c r="I435" s="15" t="n">
        <f aca="false">I408*(1-Inputs!$D$79)+I404+I406-I425-I426</f>
        <v>317.56557082501</v>
      </c>
    </row>
    <row r="436" customFormat="false" ht="15" hidden="false" customHeight="false" outlineLevel="0" collapsed="false">
      <c r="B436" s="18" t="s">
        <v>253</v>
      </c>
      <c r="C436" s="19"/>
      <c r="D436" s="19"/>
      <c r="E436" s="19"/>
      <c r="F436" s="19"/>
      <c r="G436" s="19"/>
      <c r="H436" s="19"/>
      <c r="I436" s="19"/>
    </row>
    <row r="437" customFormat="false" ht="15" hidden="false" customHeight="false" outlineLevel="0" collapsed="false">
      <c r="B437" s="9" t="s">
        <v>254</v>
      </c>
      <c r="C437" s="20" t="s">
        <v>206</v>
      </c>
      <c r="D437" s="9"/>
      <c r="E437" s="14" t="n">
        <f aca="false">(E395-D395)/(E382-D382)</f>
        <v>0.241555555555556</v>
      </c>
      <c r="F437" s="14" t="n">
        <f aca="false">(F395-E395)/(F382-E382)</f>
        <v>0.254</v>
      </c>
      <c r="G437" s="14" t="n">
        <f aca="false">(G395-F395)/(G382-F382)</f>
        <v>0.188737588652483</v>
      </c>
      <c r="H437" s="14" t="n">
        <f aca="false">(H395-G395)/(H382-G382)</f>
        <v>0.235009900990099</v>
      </c>
      <c r="I437" s="14" t="n">
        <f aca="false">(I395-H395)/(I382-H382)</f>
        <v>0.227912087912088</v>
      </c>
    </row>
    <row r="438" customFormat="false" ht="15" hidden="false" customHeight="false" outlineLevel="0" collapsed="false">
      <c r="B438" s="9" t="s">
        <v>255</v>
      </c>
      <c r="C438" s="20" t="s">
        <v>206</v>
      </c>
      <c r="D438" s="9"/>
      <c r="E438" s="14" t="n">
        <f aca="false">(E397-D397)/(E386-D386)</f>
        <v>0.280090909090909</v>
      </c>
      <c r="F438" s="14" t="n">
        <f aca="false">(F397-E397)/(F386-E386)</f>
        <v>0.284454545454545</v>
      </c>
      <c r="G438" s="14" t="n">
        <f aca="false">(G397-F397)/(G386-F386)</f>
        <v>0.310485549132948</v>
      </c>
      <c r="H438" s="14" t="n">
        <f aca="false">(H397-G397)/(H386-G386)</f>
        <v>0.301398362892224</v>
      </c>
      <c r="I438" s="14" t="n">
        <f aca="false">(I397-H397)/(I386-H386)</f>
        <v>0.291576354679803</v>
      </c>
    </row>
    <row r="439" customFormat="false" ht="15" hidden="false" customHeight="false" outlineLevel="0" collapsed="false">
      <c r="B439" s="9" t="s">
        <v>256</v>
      </c>
      <c r="C439" s="20" t="s">
        <v>206</v>
      </c>
      <c r="D439" s="9"/>
      <c r="E439" s="14" t="n">
        <f aca="false">(E399-D399)/(E390-D390)</f>
        <v>0.298333333333333</v>
      </c>
      <c r="F439" s="14" t="n">
        <f aca="false">(F399-E399)/(F390-E390)</f>
        <v>0.308333333333333</v>
      </c>
      <c r="G439" s="14" t="n">
        <f aca="false">(G399-F399)/(G390-F390)</f>
        <v>0.435584269662921</v>
      </c>
      <c r="H439" s="14" t="n">
        <f aca="false">(H399-G399)/(H390-G390)</f>
        <v>0.295292730844794</v>
      </c>
      <c r="I439" s="14" t="n">
        <f aca="false">(I399-H399)/(I390-H390)</f>
        <v>0.284195153896529</v>
      </c>
    </row>
    <row r="440" customFormat="false" ht="15" hidden="false" customHeight="false" outlineLevel="0" collapsed="false">
      <c r="B440" s="9" t="s">
        <v>257</v>
      </c>
      <c r="C440" s="20" t="s">
        <v>206</v>
      </c>
      <c r="D440" s="9"/>
      <c r="E440" s="14" t="n">
        <f aca="false">(E402-D402)/(E391-D391)</f>
        <v>0.255576923076923</v>
      </c>
      <c r="F440" s="14" t="n">
        <f aca="false">(F402-E402)/(F391-E391)</f>
        <v>0.264875</v>
      </c>
      <c r="G440" s="14" t="n">
        <f aca="false">(G402-F402)/(G391-F391)</f>
        <v>0.287599264472767</v>
      </c>
      <c r="H440" s="14" t="n">
        <f aca="false">(H402-G402)/(H391-G391)</f>
        <v>0.26502941558744</v>
      </c>
      <c r="I440" s="14" t="n">
        <f aca="false">(I402-H402)/(I391-H391)</f>
        <v>0.254346118817357</v>
      </c>
    </row>
    <row r="442" customFormat="false" ht="15" hidden="false" customHeight="false" outlineLevel="0" collapsed="false">
      <c r="B442" s="7" t="s">
        <v>421</v>
      </c>
      <c r="C442" s="8"/>
      <c r="D442" s="8" t="s">
        <v>23</v>
      </c>
      <c r="E442" s="8" t="s">
        <v>24</v>
      </c>
      <c r="F442" s="8" t="s">
        <v>25</v>
      </c>
      <c r="G442" s="8" t="s">
        <v>26</v>
      </c>
      <c r="H442" s="8" t="s">
        <v>27</v>
      </c>
      <c r="I442" s="8" t="s">
        <v>28</v>
      </c>
    </row>
    <row r="443" customFormat="false" ht="15" hidden="false" customHeight="false" outlineLevel="0" collapsed="false">
      <c r="B443" s="18" t="s">
        <v>205</v>
      </c>
      <c r="C443" s="19"/>
      <c r="D443" s="19"/>
      <c r="E443" s="19"/>
      <c r="F443" s="19"/>
      <c r="G443" s="19"/>
      <c r="H443" s="19"/>
      <c r="I443" s="19"/>
    </row>
    <row r="444" customFormat="false" ht="15" hidden="false" customHeight="false" outlineLevel="0" collapsed="false">
      <c r="B444" s="9" t="s">
        <v>32</v>
      </c>
      <c r="C444" s="20" t="s">
        <v>206</v>
      </c>
      <c r="D444" s="14" t="n">
        <f aca="false">(1+D446)/(1+D445)-1</f>
        <v>0.0103708741165327</v>
      </c>
      <c r="E444" s="14" t="n">
        <f aca="false">(1+E446)/(1+E445)-1</f>
        <v>0.0128827483196416</v>
      </c>
      <c r="F444" s="14" t="n">
        <f aca="false">(1+F446)/(1+F445)-1</f>
        <v>0.00708103855232101</v>
      </c>
      <c r="G444" s="14" t="n">
        <f aca="false">Inputs!$G$8</f>
        <v>0.01</v>
      </c>
      <c r="H444" s="14" t="n">
        <f aca="false">Inputs!$H$8</f>
        <v>0.02</v>
      </c>
      <c r="I444" s="14" t="n">
        <f aca="false">Inputs!$I$8</f>
        <v>0.025</v>
      </c>
    </row>
    <row r="445" customFormat="false" ht="15" hidden="false" customHeight="false" outlineLevel="0" collapsed="false">
      <c r="B445" s="9" t="s">
        <v>35</v>
      </c>
      <c r="C445" s="20" t="s">
        <v>206</v>
      </c>
      <c r="D445" s="14" t="n">
        <f aca="false">Inputs!$D$11</f>
        <v>0.045</v>
      </c>
      <c r="E445" s="14" t="n">
        <f aca="false">Inputs!$E$11</f>
        <v>0.03</v>
      </c>
      <c r="F445" s="14" t="n">
        <f aca="false">Inputs!$F$11</f>
        <v>0.025</v>
      </c>
      <c r="G445" s="14" t="n">
        <f aca="false">(Inputs!$G$11+$D$6)</f>
        <v>0.035</v>
      </c>
      <c r="H445" s="14" t="n">
        <f aca="false">(Inputs!$H$11+$D$6)</f>
        <v>0.03</v>
      </c>
      <c r="I445" s="14" t="n">
        <f aca="false">(Inputs!$I$11+$D$6)</f>
        <v>0.03</v>
      </c>
    </row>
    <row r="446" customFormat="false" ht="15" hidden="false" customHeight="false" outlineLevel="0" collapsed="false">
      <c r="B446" s="9" t="s">
        <v>207</v>
      </c>
      <c r="C446" s="20" t="s">
        <v>206</v>
      </c>
      <c r="D446" s="14" t="n">
        <f aca="false">D447/Inputs!$C$5-1</f>
        <v>0.0558375634517767</v>
      </c>
      <c r="E446" s="14" t="n">
        <f aca="false">E447/D447-1</f>
        <v>0.0432692307692308</v>
      </c>
      <c r="F446" s="14" t="n">
        <f aca="false">F447/E447-1</f>
        <v>0.032258064516129</v>
      </c>
      <c r="G446" s="14" t="n">
        <f aca="false">(1+G444)*(1+G445)-1</f>
        <v>0.04535</v>
      </c>
      <c r="H446" s="14" t="n">
        <f aca="false">(1+H444)*(1+H445)-1</f>
        <v>0.0506</v>
      </c>
      <c r="I446" s="14" t="n">
        <f aca="false">(1+I444)*(1+I445)-1</f>
        <v>0.05575</v>
      </c>
    </row>
    <row r="447" customFormat="false" ht="15" hidden="false" customHeight="false" outlineLevel="0" collapsed="false">
      <c r="B447" s="9" t="s">
        <v>208</v>
      </c>
      <c r="C447" s="20" t="s">
        <v>78</v>
      </c>
      <c r="D447" s="15" t="n">
        <f aca="false">Inputs!$D$5</f>
        <v>1040</v>
      </c>
      <c r="E447" s="15" t="n">
        <f aca="false">Inputs!$E$5</f>
        <v>1085</v>
      </c>
      <c r="F447" s="15" t="n">
        <f aca="false">Inputs!$F$5</f>
        <v>1120</v>
      </c>
      <c r="G447" s="15" t="n">
        <f aca="false">F447*(1+G446)</f>
        <v>1170.792</v>
      </c>
      <c r="H447" s="15" t="n">
        <f aca="false">G447*(1+H446)</f>
        <v>1230.0340752</v>
      </c>
      <c r="I447" s="15" t="n">
        <f aca="false">H447*(1+I446)</f>
        <v>1298.6084748924</v>
      </c>
    </row>
    <row r="448" customFormat="false" ht="15" hidden="false" customHeight="false" outlineLevel="0" collapsed="false">
      <c r="B448" s="9" t="s">
        <v>33</v>
      </c>
      <c r="C448" s="20" t="s">
        <v>206</v>
      </c>
      <c r="D448" s="14" t="n">
        <f aca="false">(1+D450)/(1+D449)-1</f>
        <v>0.0661409719987125</v>
      </c>
      <c r="E448" s="14" t="n">
        <f aca="false">(1+E450)/(1+E449)-1</f>
        <v>0.0716248397142334</v>
      </c>
      <c r="F448" s="14" t="n">
        <f aca="false">(1+F450)/(1+F449)-1</f>
        <v>0.0673337502605798</v>
      </c>
      <c r="G448" s="14" t="n">
        <f aca="false">Inputs!$G$9</f>
        <v>0.06</v>
      </c>
      <c r="H448" s="14" t="n">
        <f aca="false">Inputs!$H$9</f>
        <v>0.065</v>
      </c>
      <c r="I448" s="14" t="n">
        <f aca="false">Inputs!$I$9</f>
        <v>0.06</v>
      </c>
    </row>
    <row r="449" customFormat="false" ht="15" hidden="false" customHeight="false" outlineLevel="0" collapsed="false">
      <c r="B449" s="9" t="s">
        <v>36</v>
      </c>
      <c r="C449" s="20" t="s">
        <v>206</v>
      </c>
      <c r="D449" s="14" t="n">
        <f aca="false">Inputs!$D$12</f>
        <v>0.04</v>
      </c>
      <c r="E449" s="14" t="n">
        <f aca="false">Inputs!$E$12</f>
        <v>0.03</v>
      </c>
      <c r="F449" s="14" t="n">
        <f aca="false">Inputs!$F$12</f>
        <v>0.025</v>
      </c>
      <c r="G449" s="14" t="n">
        <f aca="false">(Inputs!$G$12+$D$6)</f>
        <v>0.035</v>
      </c>
      <c r="H449" s="14" t="n">
        <f aca="false">(Inputs!$H$12+$D$6)</f>
        <v>0.035</v>
      </c>
      <c r="I449" s="14" t="n">
        <f aca="false">(Inputs!$I$12+$D$6)</f>
        <v>0.03</v>
      </c>
    </row>
    <row r="450" customFormat="false" ht="15" hidden="false" customHeight="false" outlineLevel="0" collapsed="false">
      <c r="B450" s="9" t="s">
        <v>209</v>
      </c>
      <c r="C450" s="20" t="s">
        <v>206</v>
      </c>
      <c r="D450" s="14" t="n">
        <f aca="false">D451/Inputs!$C$6-1</f>
        <v>0.108786610878661</v>
      </c>
      <c r="E450" s="14" t="n">
        <f aca="false">E451/D451-1</f>
        <v>0.10377358490566</v>
      </c>
      <c r="F450" s="14" t="n">
        <f aca="false">F451/E451-1</f>
        <v>0.0940170940170941</v>
      </c>
      <c r="G450" s="14" t="n">
        <f aca="false">(1+G448)*(1+G449)-1</f>
        <v>0.0971</v>
      </c>
      <c r="H450" s="14" t="n">
        <f aca="false">(1+H448)*(1+H449)-1</f>
        <v>0.102275</v>
      </c>
      <c r="I450" s="14" t="n">
        <f aca="false">(1+I448)*(1+I449)-1</f>
        <v>0.0918000000000001</v>
      </c>
    </row>
    <row r="451" customFormat="false" ht="15" hidden="false" customHeight="false" outlineLevel="0" collapsed="false">
      <c r="B451" s="9" t="s">
        <v>210</v>
      </c>
      <c r="C451" s="20" t="s">
        <v>78</v>
      </c>
      <c r="D451" s="15" t="n">
        <f aca="false">Inputs!$D$6</f>
        <v>530</v>
      </c>
      <c r="E451" s="15" t="n">
        <f aca="false">Inputs!$E$6</f>
        <v>585</v>
      </c>
      <c r="F451" s="15" t="n">
        <f aca="false">Inputs!$F$6</f>
        <v>640</v>
      </c>
      <c r="G451" s="15" t="n">
        <f aca="false">F451*(1+G450)</f>
        <v>702.144</v>
      </c>
      <c r="H451" s="15" t="n">
        <f aca="false">G451*(1+H450)</f>
        <v>773.9557776</v>
      </c>
      <c r="I451" s="15" t="n">
        <f aca="false">H451*(1+I450)</f>
        <v>845.00491798368</v>
      </c>
    </row>
    <row r="452" customFormat="false" ht="15" hidden="false" customHeight="false" outlineLevel="0" collapsed="false">
      <c r="B452" s="9" t="s">
        <v>34</v>
      </c>
      <c r="C452" s="20" t="s">
        <v>206</v>
      </c>
      <c r="D452" s="14" t="n">
        <f aca="false">(1+D454)/(1+D453)-1</f>
        <v>0.0281385281385282</v>
      </c>
      <c r="E452" s="14" t="n">
        <f aca="false">(1+E454)/(1+E453)-1</f>
        <v>0.0424612255275871</v>
      </c>
      <c r="F452" s="14" t="n">
        <f aca="false">(1+F454)/(1+F453)-1</f>
        <v>0.0419133317546767</v>
      </c>
      <c r="G452" s="14" t="n">
        <f aca="false">Inputs!$G$10</f>
        <v>0.04</v>
      </c>
      <c r="H452" s="14" t="n">
        <f aca="false">Inputs!$H$10</f>
        <v>0.045</v>
      </c>
      <c r="I452" s="14" t="n">
        <f aca="false">Inputs!$I$10</f>
        <v>0.045</v>
      </c>
    </row>
    <row r="453" customFormat="false" ht="15" hidden="false" customHeight="false" outlineLevel="0" collapsed="false">
      <c r="B453" s="9" t="s">
        <v>37</v>
      </c>
      <c r="C453" s="20" t="s">
        <v>206</v>
      </c>
      <c r="D453" s="14" t="n">
        <f aca="false">Inputs!$D$13</f>
        <v>0.05</v>
      </c>
      <c r="E453" s="14" t="n">
        <f aca="false">Inputs!$E$13</f>
        <v>0.035</v>
      </c>
      <c r="F453" s="14" t="n">
        <f aca="false">Inputs!$F$13</f>
        <v>0.03</v>
      </c>
      <c r="G453" s="14" t="n">
        <f aca="false">(Inputs!$G$13+$D$6)</f>
        <v>0.04</v>
      </c>
      <c r="H453" s="14" t="n">
        <f aca="false">(Inputs!$H$13+$D$6)</f>
        <v>0.04</v>
      </c>
      <c r="I453" s="14" t="n">
        <f aca="false">(Inputs!$I$13+$D$6)</f>
        <v>0.04</v>
      </c>
    </row>
    <row r="454" customFormat="false" ht="15" hidden="false" customHeight="false" outlineLevel="0" collapsed="false">
      <c r="B454" s="9" t="s">
        <v>211</v>
      </c>
      <c r="C454" s="20" t="s">
        <v>206</v>
      </c>
      <c r="D454" s="14" t="n">
        <f aca="false">D455/Inputs!$C$7-1</f>
        <v>0.0795454545454546</v>
      </c>
      <c r="E454" s="14" t="n">
        <f aca="false">E455/D455-1</f>
        <v>0.0789473684210527</v>
      </c>
      <c r="F454" s="14" t="n">
        <f aca="false">F455/E455-1</f>
        <v>0.0731707317073171</v>
      </c>
      <c r="G454" s="14" t="n">
        <f aca="false">(1+G452)*(1+G453)-1</f>
        <v>0.0816000000000001</v>
      </c>
      <c r="H454" s="14" t="n">
        <f aca="false">(1+H452)*(1+H453)-1</f>
        <v>0.0868</v>
      </c>
      <c r="I454" s="14" t="n">
        <f aca="false">(1+I452)*(1+I453)-1</f>
        <v>0.0868</v>
      </c>
    </row>
    <row r="455" customFormat="false" ht="15" hidden="false" customHeight="false" outlineLevel="0" collapsed="false">
      <c r="B455" s="9" t="s">
        <v>212</v>
      </c>
      <c r="C455" s="20" t="s">
        <v>78</v>
      </c>
      <c r="D455" s="15" t="n">
        <f aca="false">Inputs!$D$7</f>
        <v>380</v>
      </c>
      <c r="E455" s="15" t="n">
        <f aca="false">Inputs!$E$7</f>
        <v>410</v>
      </c>
      <c r="F455" s="15" t="n">
        <f aca="false">Inputs!$F$7</f>
        <v>440</v>
      </c>
      <c r="G455" s="15" t="n">
        <f aca="false">F455*(1+G454)</f>
        <v>475.904</v>
      </c>
      <c r="H455" s="15" t="n">
        <f aca="false">G455*(1+H454)</f>
        <v>517.2124672</v>
      </c>
      <c r="I455" s="15" t="n">
        <f aca="false">H455*(1+I454)</f>
        <v>562.10650935296</v>
      </c>
    </row>
    <row r="456" customFormat="false" ht="15" hidden="false" customHeight="false" outlineLevel="0" collapsed="false">
      <c r="B456" s="26" t="s">
        <v>213</v>
      </c>
      <c r="C456" s="20" t="s">
        <v>78</v>
      </c>
      <c r="D456" s="27" t="n">
        <f aca="false">D447+D451+D455</f>
        <v>1950</v>
      </c>
      <c r="E456" s="27" t="n">
        <f aca="false">E447+E451+E455</f>
        <v>2080</v>
      </c>
      <c r="F456" s="27" t="n">
        <f aca="false">F447+F451+F455</f>
        <v>2200</v>
      </c>
      <c r="G456" s="27" t="n">
        <f aca="false">G447+G451+G455</f>
        <v>2348.84</v>
      </c>
      <c r="H456" s="27" t="n">
        <f aca="false">H447+H451+H455</f>
        <v>2521.20232</v>
      </c>
      <c r="I456" s="27" t="n">
        <f aca="false">I447+I451+I455</f>
        <v>2705.71990222904</v>
      </c>
    </row>
    <row r="457" customFormat="false" ht="15" hidden="false" customHeight="false" outlineLevel="0" collapsed="false">
      <c r="B457" s="9" t="s">
        <v>214</v>
      </c>
      <c r="C457" s="20" t="s">
        <v>206</v>
      </c>
      <c r="D457" s="14" t="n">
        <f aca="false">D456/(Inputs!$C$5+Inputs!$C$6+Inputs!$C$7)-1</f>
        <v>0.0743801652892562</v>
      </c>
      <c r="E457" s="14" t="n">
        <f aca="false">E456/D456-1</f>
        <v>0.0666666666666667</v>
      </c>
      <c r="F457" s="14" t="n">
        <f aca="false">F456/E456-1</f>
        <v>0.0576923076923077</v>
      </c>
      <c r="G457" s="14" t="n">
        <f aca="false">G456/F456-1</f>
        <v>0.0676545454545454</v>
      </c>
      <c r="H457" s="14" t="n">
        <f aca="false">H456/G456-1</f>
        <v>0.0733818906353774</v>
      </c>
      <c r="I457" s="14" t="n">
        <f aca="false">I456/H456-1</f>
        <v>0.0731863447710299</v>
      </c>
    </row>
    <row r="458" customFormat="false" ht="15" hidden="false" customHeight="false" outlineLevel="0" collapsed="false">
      <c r="B458" s="18" t="s">
        <v>215</v>
      </c>
      <c r="C458" s="19"/>
      <c r="D458" s="19"/>
      <c r="E458" s="19"/>
      <c r="F458" s="19"/>
      <c r="G458" s="19"/>
      <c r="H458" s="19"/>
      <c r="I458" s="19"/>
    </row>
    <row r="459" customFormat="false" ht="15" hidden="false" customHeight="false" outlineLevel="0" collapsed="false">
      <c r="B459" s="9" t="s">
        <v>38</v>
      </c>
      <c r="C459" s="20" t="s">
        <v>206</v>
      </c>
      <c r="D459" s="14" t="n">
        <f aca="false">Inputs!$D$14</f>
        <v>0.121</v>
      </c>
      <c r="E459" s="14" t="n">
        <f aca="false">Inputs!$E$14</f>
        <v>0.126</v>
      </c>
      <c r="F459" s="14" t="n">
        <f aca="false">Inputs!$F$14</f>
        <v>0.13</v>
      </c>
      <c r="G459" s="14" t="n">
        <f aca="false">Inputs!$G$14</f>
        <v>0.132</v>
      </c>
      <c r="H459" s="14" t="n">
        <f aca="false">Inputs!$H$14</f>
        <v>0.136</v>
      </c>
      <c r="I459" s="14" t="n">
        <f aca="false">Inputs!$I$14</f>
        <v>0.14</v>
      </c>
    </row>
    <row r="460" customFormat="false" ht="15" hidden="false" customHeight="false" outlineLevel="0" collapsed="false">
      <c r="B460" s="9" t="s">
        <v>216</v>
      </c>
      <c r="C460" s="20" t="s">
        <v>78</v>
      </c>
      <c r="D460" s="15" t="n">
        <f aca="false">D447*D459</f>
        <v>125.84</v>
      </c>
      <c r="E460" s="15" t="n">
        <f aca="false">E447*E459</f>
        <v>136.71</v>
      </c>
      <c r="F460" s="15" t="n">
        <f aca="false">F447*F459</f>
        <v>145.6</v>
      </c>
      <c r="G460" s="15" t="n">
        <f aca="false">G447*G459</f>
        <v>154.544544</v>
      </c>
      <c r="H460" s="15" t="n">
        <f aca="false">H447*H459</f>
        <v>167.2846342272</v>
      </c>
      <c r="I460" s="15" t="n">
        <f aca="false">I447*I459</f>
        <v>181.805186484936</v>
      </c>
    </row>
    <row r="461" customFormat="false" ht="15" hidden="false" customHeight="false" outlineLevel="0" collapsed="false">
      <c r="B461" s="9" t="s">
        <v>39</v>
      </c>
      <c r="C461" s="20" t="s">
        <v>206</v>
      </c>
      <c r="D461" s="14" t="n">
        <f aca="false">Inputs!$D$15</f>
        <v>0.195</v>
      </c>
      <c r="E461" s="14" t="n">
        <f aca="false">Inputs!$E$15</f>
        <v>0.203</v>
      </c>
      <c r="F461" s="14" t="n">
        <f aca="false">Inputs!$F$15</f>
        <v>0.21</v>
      </c>
      <c r="G461" s="14" t="n">
        <f aca="false">Inputs!$G$15</f>
        <v>0.218</v>
      </c>
      <c r="H461" s="14" t="n">
        <f aca="false">Inputs!$H$15</f>
        <v>0.225</v>
      </c>
      <c r="I461" s="14" t="n">
        <f aca="false">Inputs!$I$15</f>
        <v>0.23</v>
      </c>
    </row>
    <row r="462" customFormat="false" ht="15" hidden="false" customHeight="false" outlineLevel="0" collapsed="false">
      <c r="B462" s="9" t="s">
        <v>217</v>
      </c>
      <c r="C462" s="20" t="s">
        <v>78</v>
      </c>
      <c r="D462" s="15" t="n">
        <f aca="false">D451*D461</f>
        <v>103.35</v>
      </c>
      <c r="E462" s="15" t="n">
        <f aca="false">E451*E461</f>
        <v>118.755</v>
      </c>
      <c r="F462" s="15" t="n">
        <f aca="false">F451*F461</f>
        <v>134.4</v>
      </c>
      <c r="G462" s="15" t="n">
        <f aca="false">G451*G461</f>
        <v>153.067392</v>
      </c>
      <c r="H462" s="15" t="n">
        <f aca="false">H451*H461</f>
        <v>174.14004996</v>
      </c>
      <c r="I462" s="15" t="n">
        <f aca="false">I451*I461</f>
        <v>194.351131136246</v>
      </c>
    </row>
    <row r="463" customFormat="false" ht="15" hidden="false" customHeight="false" outlineLevel="0" collapsed="false">
      <c r="B463" s="9" t="s">
        <v>40</v>
      </c>
      <c r="C463" s="20" t="s">
        <v>206</v>
      </c>
      <c r="D463" s="14" t="n">
        <f aca="false">Inputs!$D$16</f>
        <v>0.23</v>
      </c>
      <c r="E463" s="14" t="n">
        <f aca="false">Inputs!$E$16</f>
        <v>0.235</v>
      </c>
      <c r="F463" s="14" t="n">
        <f aca="false">Inputs!$F$16</f>
        <v>0.24</v>
      </c>
      <c r="G463" s="14" t="n">
        <f aca="false">Inputs!$G$16</f>
        <v>0.243</v>
      </c>
      <c r="H463" s="14" t="n">
        <f aca="false">Inputs!$H$16</f>
        <v>0.246</v>
      </c>
      <c r="I463" s="14" t="n">
        <f aca="false">Inputs!$I$16</f>
        <v>0.248</v>
      </c>
    </row>
    <row r="464" customFormat="false" ht="15" hidden="false" customHeight="false" outlineLevel="0" collapsed="false">
      <c r="B464" s="9" t="s">
        <v>218</v>
      </c>
      <c r="C464" s="20" t="s">
        <v>78</v>
      </c>
      <c r="D464" s="15" t="n">
        <f aca="false">D455*D463</f>
        <v>87.4</v>
      </c>
      <c r="E464" s="15" t="n">
        <f aca="false">E455*E463</f>
        <v>96.35</v>
      </c>
      <c r="F464" s="15" t="n">
        <f aca="false">F455*F463</f>
        <v>105.6</v>
      </c>
      <c r="G464" s="15" t="n">
        <f aca="false">G455*G463</f>
        <v>115.644672</v>
      </c>
      <c r="H464" s="15" t="n">
        <f aca="false">H455*H463</f>
        <v>127.2342669312</v>
      </c>
      <c r="I464" s="15" t="n">
        <f aca="false">I455*I463</f>
        <v>139.402414319534</v>
      </c>
    </row>
    <row r="465" customFormat="false" ht="15" hidden="false" customHeight="false" outlineLevel="0" collapsed="false">
      <c r="B465" s="9" t="s">
        <v>219</v>
      </c>
      <c r="C465" s="20" t="s">
        <v>78</v>
      </c>
      <c r="D465" s="15" t="n">
        <f aca="false">D460+D462+D464</f>
        <v>316.59</v>
      </c>
      <c r="E465" s="15" t="n">
        <f aca="false">E460+E462+E464</f>
        <v>351.815</v>
      </c>
      <c r="F465" s="15" t="n">
        <f aca="false">F460+F462+F464</f>
        <v>385.6</v>
      </c>
      <c r="G465" s="15" t="n">
        <f aca="false">G460+G462+G464</f>
        <v>423.256608</v>
      </c>
      <c r="H465" s="15" t="n">
        <f aca="false">H460+H462+H464</f>
        <v>468.6589511184</v>
      </c>
      <c r="I465" s="15" t="n">
        <f aca="false">I460+I462+I464</f>
        <v>515.558731940717</v>
      </c>
    </row>
    <row r="466" customFormat="false" ht="15" hidden="false" customHeight="false" outlineLevel="0" collapsed="false">
      <c r="B466" s="9" t="s">
        <v>41</v>
      </c>
      <c r="C466" s="20" t="s">
        <v>78</v>
      </c>
      <c r="D466" s="15" t="n">
        <f aca="false">Inputs!$D$17</f>
        <v>44</v>
      </c>
      <c r="E466" s="15" t="n">
        <f aca="false">Inputs!$E$17</f>
        <v>46</v>
      </c>
      <c r="F466" s="15" t="n">
        <f aca="false">Inputs!$F$17</f>
        <v>48</v>
      </c>
      <c r="G466" s="15" t="n">
        <f aca="false">Inputs!$G$17</f>
        <v>50</v>
      </c>
      <c r="H466" s="15" t="n">
        <f aca="false">Inputs!$H$17</f>
        <v>52</v>
      </c>
      <c r="I466" s="15" t="n">
        <f aca="false">Inputs!$I$17</f>
        <v>54</v>
      </c>
    </row>
    <row r="467" customFormat="false" ht="15" hidden="false" customHeight="false" outlineLevel="0" collapsed="false">
      <c r="B467" s="26" t="s">
        <v>220</v>
      </c>
      <c r="C467" s="20" t="s">
        <v>78</v>
      </c>
      <c r="D467" s="27" t="n">
        <f aca="false">D465-D466</f>
        <v>272.59</v>
      </c>
      <c r="E467" s="27" t="n">
        <f aca="false">E465-E466</f>
        <v>305.815</v>
      </c>
      <c r="F467" s="27" t="n">
        <f aca="false">F465-F466</f>
        <v>337.6</v>
      </c>
      <c r="G467" s="27" t="n">
        <f aca="false">G465-G466</f>
        <v>373.256608</v>
      </c>
      <c r="H467" s="27" t="n">
        <f aca="false">H465-H466</f>
        <v>416.6589511184</v>
      </c>
      <c r="I467" s="27" t="n">
        <f aca="false">I465-I466</f>
        <v>461.558731940717</v>
      </c>
    </row>
    <row r="468" customFormat="false" ht="15" hidden="false" customHeight="false" outlineLevel="0" collapsed="false">
      <c r="B468" s="9" t="s">
        <v>221</v>
      </c>
      <c r="C468" s="20" t="s">
        <v>206</v>
      </c>
      <c r="D468" s="14" t="n">
        <f aca="false">D467/D456</f>
        <v>0.139789743589744</v>
      </c>
      <c r="E468" s="14" t="n">
        <f aca="false">E467/E456</f>
        <v>0.147026442307692</v>
      </c>
      <c r="F468" s="14" t="n">
        <f aca="false">F467/F456</f>
        <v>0.153454545454545</v>
      </c>
      <c r="G468" s="14" t="n">
        <f aca="false">G467/G456</f>
        <v>0.158911040343318</v>
      </c>
      <c r="H468" s="14" t="n">
        <f aca="false">H467/H456</f>
        <v>0.165262005279449</v>
      </c>
      <c r="I468" s="14" t="n">
        <f aca="false">I467/I456</f>
        <v>0.170586294449944</v>
      </c>
    </row>
    <row r="469" customFormat="false" ht="15" hidden="false" customHeight="false" outlineLevel="0" collapsed="false">
      <c r="B469" s="9" t="s">
        <v>222</v>
      </c>
      <c r="C469" s="20" t="s">
        <v>78</v>
      </c>
      <c r="D469" s="15" t="n">
        <f aca="false">D456*Inputs!$D$80</f>
        <v>54.6</v>
      </c>
      <c r="E469" s="15" t="n">
        <f aca="false">E456*Inputs!$D$80</f>
        <v>58.24</v>
      </c>
      <c r="F469" s="15" t="n">
        <f aca="false">F456*Inputs!$D$80</f>
        <v>61.6</v>
      </c>
      <c r="G469" s="15" t="n">
        <f aca="false">G456*Inputs!$D$80</f>
        <v>65.76752</v>
      </c>
      <c r="H469" s="15" t="n">
        <f aca="false">H456*Inputs!$D$80</f>
        <v>70.59366496</v>
      </c>
      <c r="I469" s="15" t="n">
        <f aca="false">I456*Inputs!$D$80</f>
        <v>75.7601572624131</v>
      </c>
    </row>
    <row r="470" customFormat="false" ht="15" hidden="false" customHeight="false" outlineLevel="0" collapsed="false">
      <c r="B470" s="9" t="s">
        <v>223</v>
      </c>
      <c r="C470" s="20" t="s">
        <v>78</v>
      </c>
      <c r="D470" s="15" t="n">
        <f aca="false">D467+D469</f>
        <v>327.19</v>
      </c>
      <c r="E470" s="15" t="n">
        <f aca="false">E467+E469</f>
        <v>364.055</v>
      </c>
      <c r="F470" s="15" t="n">
        <f aca="false">F467+F469</f>
        <v>399.2</v>
      </c>
      <c r="G470" s="15" t="n">
        <f aca="false">G467+G469</f>
        <v>439.024128</v>
      </c>
      <c r="H470" s="15" t="n">
        <f aca="false">H467+H469</f>
        <v>487.2526160784</v>
      </c>
      <c r="I470" s="15" t="n">
        <f aca="false">I467+I469</f>
        <v>537.31888920313</v>
      </c>
    </row>
    <row r="471" customFormat="false" ht="15" hidden="false" customHeight="false" outlineLevel="0" collapsed="false">
      <c r="B471" s="9" t="s">
        <v>42</v>
      </c>
      <c r="C471" s="20" t="s">
        <v>78</v>
      </c>
      <c r="D471" s="15" t="n">
        <f aca="false">Inputs!$D$18</f>
        <v>38</v>
      </c>
      <c r="E471" s="15" t="n">
        <f aca="false">Inputs!$E$18</f>
        <v>38</v>
      </c>
      <c r="F471" s="15" t="n">
        <f aca="false">Inputs!$F$18</f>
        <v>38</v>
      </c>
      <c r="G471" s="15" t="n">
        <f aca="false">Inputs!$G$18</f>
        <v>38</v>
      </c>
      <c r="H471" s="15" t="n">
        <f aca="false">Inputs!$H$18</f>
        <v>36</v>
      </c>
      <c r="I471" s="15" t="n">
        <f aca="false">Inputs!$I$18</f>
        <v>34</v>
      </c>
    </row>
    <row r="472" customFormat="false" ht="15" hidden="false" customHeight="false" outlineLevel="0" collapsed="false">
      <c r="B472" s="9" t="s">
        <v>43</v>
      </c>
      <c r="C472" s="20" t="s">
        <v>78</v>
      </c>
      <c r="D472" s="15" t="n">
        <f aca="false">Inputs!$D$19</f>
        <v>0</v>
      </c>
      <c r="E472" s="15" t="n">
        <f aca="false">Inputs!$E$19</f>
        <v>15</v>
      </c>
      <c r="F472" s="15" t="n">
        <f aca="false">Inputs!$F$19</f>
        <v>22</v>
      </c>
      <c r="G472" s="15" t="n">
        <f aca="false">Inputs!$G$19</f>
        <v>12</v>
      </c>
      <c r="H472" s="15" t="n">
        <f aca="false">Inputs!$H$19</f>
        <v>0</v>
      </c>
      <c r="I472" s="15" t="n">
        <f aca="false">Inputs!$I$19</f>
        <v>0</v>
      </c>
    </row>
    <row r="473" customFormat="false" ht="15" hidden="false" customHeight="false" outlineLevel="0" collapsed="false">
      <c r="B473" s="9" t="s">
        <v>224</v>
      </c>
      <c r="C473" s="20" t="s">
        <v>78</v>
      </c>
      <c r="D473" s="15" t="n">
        <f aca="false">D467-D471-D472</f>
        <v>234.59</v>
      </c>
      <c r="E473" s="15" t="n">
        <f aca="false">E467-E471-E472</f>
        <v>252.815</v>
      </c>
      <c r="F473" s="15" t="n">
        <f aca="false">F467-F471-F472</f>
        <v>277.6</v>
      </c>
      <c r="G473" s="15" t="n">
        <f aca="false">G467-G471-G472</f>
        <v>323.256608</v>
      </c>
      <c r="H473" s="15" t="n">
        <f aca="false">H467-H471-H472</f>
        <v>380.6589511184</v>
      </c>
      <c r="I473" s="15" t="n">
        <f aca="false">I467-I471-I472</f>
        <v>427.558731940717</v>
      </c>
    </row>
    <row r="474" customFormat="false" ht="15" hidden="false" customHeight="false" outlineLevel="0" collapsed="false">
      <c r="B474" s="18" t="s">
        <v>225</v>
      </c>
      <c r="C474" s="19"/>
      <c r="D474" s="19"/>
      <c r="E474" s="19"/>
      <c r="F474" s="19"/>
      <c r="G474" s="19"/>
      <c r="H474" s="19"/>
      <c r="I474" s="19"/>
    </row>
    <row r="475" customFormat="false" ht="15" hidden="false" customHeight="false" outlineLevel="0" collapsed="false">
      <c r="B475" s="9" t="s">
        <v>226</v>
      </c>
      <c r="C475" s="20" t="s">
        <v>78</v>
      </c>
      <c r="D475" s="15" t="n">
        <f aca="false">Inputs!$D$20</f>
        <v>58</v>
      </c>
      <c r="E475" s="15" t="n">
        <f aca="false">Inputs!$E$20</f>
        <v>55</v>
      </c>
      <c r="F475" s="15" t="n">
        <f aca="false">Inputs!$F$20</f>
        <v>52</v>
      </c>
      <c r="G475" s="15" t="n">
        <f aca="false">F498*Inputs!$D$83</f>
        <v>55</v>
      </c>
      <c r="H475" s="15" t="n">
        <f aca="false">G498*Inputs!$D$83</f>
        <v>50.356448592</v>
      </c>
      <c r="I475" s="15" t="n">
        <f aca="false">H498*Inputs!$D$83</f>
        <v>43.9093035887336</v>
      </c>
    </row>
    <row r="476" customFormat="false" ht="15" hidden="false" customHeight="false" outlineLevel="0" collapsed="false">
      <c r="B476" s="9" t="s">
        <v>227</v>
      </c>
      <c r="C476" s="20" t="s">
        <v>78</v>
      </c>
      <c r="D476" s="15" t="n">
        <f aca="false">D473-D475</f>
        <v>176.59</v>
      </c>
      <c r="E476" s="15" t="n">
        <f aca="false">E473-E475</f>
        <v>197.815</v>
      </c>
      <c r="F476" s="15" t="n">
        <f aca="false">F473-F475</f>
        <v>225.6</v>
      </c>
      <c r="G476" s="15" t="n">
        <f aca="false">G473-G475</f>
        <v>268.256608</v>
      </c>
      <c r="H476" s="15" t="n">
        <f aca="false">H473-H475</f>
        <v>330.3025025264</v>
      </c>
      <c r="I476" s="15" t="n">
        <f aca="false">I473-I475</f>
        <v>383.649428351983</v>
      </c>
    </row>
    <row r="477" customFormat="false" ht="15" hidden="false" customHeight="false" outlineLevel="0" collapsed="false">
      <c r="B477" s="9" t="s">
        <v>228</v>
      </c>
      <c r="C477" s="20" t="s">
        <v>78</v>
      </c>
      <c r="D477" s="15" t="n">
        <f aca="false">D476*Inputs!$D$79</f>
        <v>40.6157</v>
      </c>
      <c r="E477" s="15" t="n">
        <f aca="false">E476*Inputs!$D$79</f>
        <v>45.49745</v>
      </c>
      <c r="F477" s="15" t="n">
        <f aca="false">F476*Inputs!$D$79</f>
        <v>51.888</v>
      </c>
      <c r="G477" s="15" t="n">
        <f aca="false">G476*Inputs!$D$79</f>
        <v>61.69901984</v>
      </c>
      <c r="H477" s="15" t="n">
        <f aca="false">H476*Inputs!$D$79</f>
        <v>75.969575581072</v>
      </c>
      <c r="I477" s="15" t="n">
        <f aca="false">I476*Inputs!$D$79</f>
        <v>88.2393685209561</v>
      </c>
    </row>
    <row r="478" customFormat="false" ht="15" hidden="false" customHeight="false" outlineLevel="0" collapsed="false">
      <c r="B478" s="9" t="s">
        <v>229</v>
      </c>
      <c r="C478" s="20" t="s">
        <v>78</v>
      </c>
      <c r="D478" s="15" t="n">
        <f aca="false">D476-D477</f>
        <v>135.9743</v>
      </c>
      <c r="E478" s="15" t="n">
        <f aca="false">E476-E477</f>
        <v>152.31755</v>
      </c>
      <c r="F478" s="15" t="n">
        <f aca="false">F476-F477</f>
        <v>173.712</v>
      </c>
      <c r="G478" s="15" t="n">
        <f aca="false">G476-G477</f>
        <v>206.55758816</v>
      </c>
      <c r="H478" s="15" t="n">
        <f aca="false">H476-H477</f>
        <v>254.332926945328</v>
      </c>
      <c r="I478" s="15" t="n">
        <f aca="false">I476-I477</f>
        <v>295.410059831027</v>
      </c>
    </row>
    <row r="479" customFormat="false" ht="15" hidden="false" customHeight="false" outlineLevel="0" collapsed="false">
      <c r="B479" s="9" t="s">
        <v>230</v>
      </c>
      <c r="C479" s="20" t="s">
        <v>231</v>
      </c>
      <c r="D479" s="16" t="n">
        <f aca="false">Inputs!$D$21</f>
        <v>57</v>
      </c>
      <c r="E479" s="16" t="n">
        <f aca="false">Inputs!$E$21</f>
        <v>56.3</v>
      </c>
      <c r="F479" s="16" t="n">
        <f aca="false">Inputs!$F$21</f>
        <v>55.6</v>
      </c>
      <c r="G479" s="16" t="n">
        <f aca="false">Inputs!$G$21</f>
        <v>55</v>
      </c>
      <c r="H479" s="16" t="n">
        <f aca="false">Inputs!$H$21</f>
        <v>54.4</v>
      </c>
      <c r="I479" s="16" t="n">
        <f aca="false">Inputs!$I$21</f>
        <v>53.8</v>
      </c>
    </row>
    <row r="480" customFormat="false" ht="15" hidden="false" customHeight="false" outlineLevel="0" collapsed="false">
      <c r="B480" s="26" t="s">
        <v>232</v>
      </c>
      <c r="C480" s="20" t="s">
        <v>61</v>
      </c>
      <c r="D480" s="28" t="n">
        <f aca="false">D478/D479</f>
        <v>2.38551403508772</v>
      </c>
      <c r="E480" s="28" t="n">
        <f aca="false">E478/E479</f>
        <v>2.70546269982238</v>
      </c>
      <c r="F480" s="28" t="n">
        <f aca="false">F478/F479</f>
        <v>3.12431654676259</v>
      </c>
      <c r="G480" s="28" t="n">
        <f aca="false">G478/G479</f>
        <v>3.755592512</v>
      </c>
      <c r="H480" s="28" t="n">
        <f aca="false">H478/H479</f>
        <v>4.67523762767147</v>
      </c>
      <c r="I480" s="28" t="n">
        <f aca="false">I478/I479</f>
        <v>5.49089330540942</v>
      </c>
    </row>
    <row r="481" customFormat="false" ht="15" hidden="false" customHeight="false" outlineLevel="0" collapsed="false">
      <c r="B481" s="18" t="s">
        <v>233</v>
      </c>
      <c r="C481" s="19"/>
      <c r="D481" s="19"/>
      <c r="E481" s="19"/>
      <c r="F481" s="19"/>
      <c r="G481" s="19"/>
      <c r="H481" s="19"/>
      <c r="I481" s="19"/>
    </row>
    <row r="482" customFormat="false" ht="15" hidden="false" customHeight="false" outlineLevel="0" collapsed="false">
      <c r="B482" s="9" t="s">
        <v>234</v>
      </c>
      <c r="C482" s="20" t="s">
        <v>61</v>
      </c>
      <c r="D482" s="17" t="n">
        <f aca="false">D471*(1-Inputs!$D$79)/D479</f>
        <v>0.513333333333333</v>
      </c>
      <c r="E482" s="17" t="n">
        <f aca="false">E471*(1-Inputs!$D$79)/E479</f>
        <v>0.519715808170515</v>
      </c>
      <c r="F482" s="17" t="n">
        <f aca="false">F471*(1-Inputs!$D$79)/F479</f>
        <v>0.526258992805755</v>
      </c>
      <c r="G482" s="17" t="n">
        <f aca="false">G471*(1-Inputs!$D$79)/G479</f>
        <v>0.532</v>
      </c>
      <c r="H482" s="17" t="n">
        <f aca="false">H471*(1-Inputs!$D$79)/H479</f>
        <v>0.509558823529412</v>
      </c>
      <c r="I482" s="17" t="n">
        <f aca="false">I471*(1-Inputs!$D$79)/I479</f>
        <v>0.486617100371747</v>
      </c>
    </row>
    <row r="483" customFormat="false" ht="15" hidden="false" customHeight="false" outlineLevel="0" collapsed="false">
      <c r="B483" s="9" t="s">
        <v>235</v>
      </c>
      <c r="C483" s="20" t="s">
        <v>61</v>
      </c>
      <c r="D483" s="17" t="n">
        <f aca="false">D472*(1-Inputs!$D$79)/D479</f>
        <v>0</v>
      </c>
      <c r="E483" s="17" t="n">
        <f aca="false">E472*(1-Inputs!$D$79)/E479</f>
        <v>0.205150976909414</v>
      </c>
      <c r="F483" s="17" t="n">
        <f aca="false">F472*(1-Inputs!$D$79)/F479</f>
        <v>0.304676258992806</v>
      </c>
      <c r="G483" s="17" t="n">
        <f aca="false">G472*(1-Inputs!$D$79)/G479</f>
        <v>0.168</v>
      </c>
      <c r="H483" s="17" t="n">
        <f aca="false">H472*(1-Inputs!$D$79)/H479</f>
        <v>0</v>
      </c>
      <c r="I483" s="17" t="n">
        <f aca="false">I472*(1-Inputs!$D$79)/I479</f>
        <v>0</v>
      </c>
    </row>
    <row r="484" customFormat="false" ht="15" hidden="false" customHeight="false" outlineLevel="0" collapsed="false">
      <c r="B484" s="9" t="s">
        <v>236</v>
      </c>
      <c r="C484" s="20" t="s">
        <v>78</v>
      </c>
      <c r="D484" s="15" t="n">
        <f aca="false">(D471+D472)*(1-Inputs!$D$79)</f>
        <v>29.26</v>
      </c>
      <c r="E484" s="15" t="n">
        <f aca="false">(E471+E472)*(1-Inputs!$D$79)</f>
        <v>40.81</v>
      </c>
      <c r="F484" s="15" t="n">
        <f aca="false">(F471+F472)*(1-Inputs!$D$79)</f>
        <v>46.2</v>
      </c>
      <c r="G484" s="15" t="n">
        <f aca="false">(G471+G472)*(1-Inputs!$D$79)</f>
        <v>38.5</v>
      </c>
      <c r="H484" s="15" t="n">
        <f aca="false">(H471+H472)*(1-Inputs!$D$79)</f>
        <v>27.72</v>
      </c>
      <c r="I484" s="15" t="n">
        <f aca="false">(I471+I472)*(1-Inputs!$D$79)</f>
        <v>26.18</v>
      </c>
    </row>
    <row r="485" customFormat="false" ht="15" hidden="false" customHeight="false" outlineLevel="0" collapsed="false">
      <c r="B485" s="9" t="s">
        <v>237</v>
      </c>
      <c r="C485" s="20" t="s">
        <v>78</v>
      </c>
      <c r="D485" s="15" t="n">
        <f aca="false">D478+D484</f>
        <v>165.2343</v>
      </c>
      <c r="E485" s="15" t="n">
        <f aca="false">E478+E484</f>
        <v>193.12755</v>
      </c>
      <c r="F485" s="15" t="n">
        <f aca="false">F478+F484</f>
        <v>219.912</v>
      </c>
      <c r="G485" s="15" t="n">
        <f aca="false">G478+G484</f>
        <v>245.05758816</v>
      </c>
      <c r="H485" s="15" t="n">
        <f aca="false">H478+H484</f>
        <v>282.052926945328</v>
      </c>
      <c r="I485" s="15" t="n">
        <f aca="false">I478+I484</f>
        <v>321.590059831027</v>
      </c>
    </row>
    <row r="486" customFormat="false" ht="15" hidden="false" customHeight="false" outlineLevel="0" collapsed="false">
      <c r="B486" s="26" t="s">
        <v>238</v>
      </c>
      <c r="C486" s="20" t="s">
        <v>61</v>
      </c>
      <c r="D486" s="28" t="n">
        <f aca="false">D485/D479</f>
        <v>2.89884736842105</v>
      </c>
      <c r="E486" s="28" t="n">
        <f aca="false">E485/E479</f>
        <v>3.43032948490231</v>
      </c>
      <c r="F486" s="28" t="n">
        <f aca="false">F485/F479</f>
        <v>3.95525179856115</v>
      </c>
      <c r="G486" s="28" t="n">
        <f aca="false">G485/G479</f>
        <v>4.455592512</v>
      </c>
      <c r="H486" s="28" t="n">
        <f aca="false">H485/H479</f>
        <v>5.18479645120088</v>
      </c>
      <c r="I486" s="28" t="n">
        <f aca="false">I485/I479</f>
        <v>5.97751040578117</v>
      </c>
    </row>
    <row r="487" customFormat="false" ht="15" hidden="false" customHeight="false" outlineLevel="0" collapsed="false">
      <c r="B487" s="9" t="s">
        <v>239</v>
      </c>
      <c r="C487" s="20" t="s">
        <v>206</v>
      </c>
      <c r="D487" s="9"/>
      <c r="E487" s="14" t="n">
        <f aca="false">E486/D486-1</f>
        <v>0.183342566521791</v>
      </c>
      <c r="F487" s="14" t="n">
        <f aca="false">F486/E486-1</f>
        <v>0.153023875977264</v>
      </c>
      <c r="G487" s="14" t="n">
        <f aca="false">G486/F486-1</f>
        <v>0.12650034407945</v>
      </c>
      <c r="H487" s="14" t="n">
        <f aca="false">H486/G486-1</f>
        <v>0.163660374515164</v>
      </c>
      <c r="I487" s="14" t="n">
        <f aca="false">I486/H486-1</f>
        <v>0.152892010716579</v>
      </c>
    </row>
    <row r="488" customFormat="false" ht="15" hidden="false" customHeight="false" outlineLevel="0" collapsed="false">
      <c r="B488" s="9" t="s">
        <v>240</v>
      </c>
      <c r="C488" s="20" t="s">
        <v>206</v>
      </c>
      <c r="D488" s="14" t="n">
        <f aca="false">D486/D480-1</f>
        <v>0.215187722974121</v>
      </c>
      <c r="E488" s="14" t="n">
        <f aca="false">E486/E480-1</f>
        <v>0.267927103606906</v>
      </c>
      <c r="F488" s="14" t="n">
        <f aca="false">F486/F480-1</f>
        <v>0.265957446808511</v>
      </c>
      <c r="G488" s="14" t="n">
        <f aca="false">G486/G480-1</f>
        <v>0.186388698391355</v>
      </c>
      <c r="H488" s="14" t="n">
        <f aca="false">H486/H480-1</f>
        <v>0.10899099983998</v>
      </c>
      <c r="I488" s="14" t="n">
        <f aca="false">I486/I480-1</f>
        <v>0.0886225743800833</v>
      </c>
    </row>
    <row r="489" customFormat="false" ht="15" hidden="false" customHeight="false" outlineLevel="0" collapsed="false">
      <c r="B489" s="18" t="s">
        <v>241</v>
      </c>
      <c r="C489" s="19"/>
      <c r="D489" s="19"/>
      <c r="E489" s="19"/>
      <c r="F489" s="19"/>
      <c r="G489" s="19"/>
      <c r="H489" s="19"/>
      <c r="I489" s="19"/>
    </row>
    <row r="490" customFormat="false" ht="15" hidden="false" customHeight="false" outlineLevel="0" collapsed="false">
      <c r="B490" s="9" t="s">
        <v>242</v>
      </c>
      <c r="C490" s="20" t="s">
        <v>78</v>
      </c>
      <c r="D490" s="15" t="n">
        <f aca="false">D456*Inputs!$D$81</f>
        <v>62.4</v>
      </c>
      <c r="E490" s="15" t="n">
        <f aca="false">E456*Inputs!$D$81</f>
        <v>66.56</v>
      </c>
      <c r="F490" s="15" t="n">
        <f aca="false">F456*Inputs!$D$81</f>
        <v>70.4</v>
      </c>
      <c r="G490" s="15" t="n">
        <f aca="false">G456*Inputs!$D$81</f>
        <v>75.16288</v>
      </c>
      <c r="H490" s="15" t="n">
        <f aca="false">H456*Inputs!$D$81</f>
        <v>80.67847424</v>
      </c>
      <c r="I490" s="15" t="n">
        <f aca="false">I456*Inputs!$D$81</f>
        <v>86.5830368713293</v>
      </c>
    </row>
    <row r="491" customFormat="false" ht="15" hidden="false" customHeight="false" outlineLevel="0" collapsed="false">
      <c r="B491" s="9" t="s">
        <v>243</v>
      </c>
      <c r="C491" s="20" t="s">
        <v>78</v>
      </c>
      <c r="D491" s="15" t="n">
        <f aca="false">(D456-(Inputs!$C$5+Inputs!$C$6+Inputs!$C$7))*Inputs!$D$82</f>
        <v>24.3</v>
      </c>
      <c r="E491" s="15" t="n">
        <f aca="false">(E456-D456)*Inputs!$D$82</f>
        <v>23.4</v>
      </c>
      <c r="F491" s="15" t="n">
        <f aca="false">(F456-E456)*Inputs!$D$82</f>
        <v>21.6</v>
      </c>
      <c r="G491" s="15" t="n">
        <f aca="false">(G456-F456)*Inputs!$D$82</f>
        <v>26.7912</v>
      </c>
      <c r="H491" s="15" t="n">
        <f aca="false">(H456-G456)*Inputs!$D$82</f>
        <v>31.0252175999999</v>
      </c>
      <c r="I491" s="15" t="n">
        <f aca="false">(I456-H456)*Inputs!$D$82</f>
        <v>33.2131648012273</v>
      </c>
    </row>
    <row r="492" customFormat="false" ht="15" hidden="false" customHeight="false" outlineLevel="0" collapsed="false">
      <c r="B492" s="26" t="s">
        <v>244</v>
      </c>
      <c r="C492" s="20" t="s">
        <v>78</v>
      </c>
      <c r="D492" s="27" t="n">
        <f aca="false">D478+D469+D471-D490-D491</f>
        <v>141.8743</v>
      </c>
      <c r="E492" s="27" t="n">
        <f aca="false">E478+E469+E471-E490-E491</f>
        <v>158.59755</v>
      </c>
      <c r="F492" s="27" t="n">
        <f aca="false">F478+F469+F471-F490-F491</f>
        <v>181.312</v>
      </c>
      <c r="G492" s="27" t="n">
        <f aca="false">G478+G469+G471-G490-G491</f>
        <v>208.37102816</v>
      </c>
      <c r="H492" s="27" t="n">
        <f aca="false">H478+H469+H471-H490-H491</f>
        <v>249.222900065328</v>
      </c>
      <c r="I492" s="27" t="n">
        <f aca="false">I478+I469+I471-I490-I491</f>
        <v>285.374015420884</v>
      </c>
    </row>
    <row r="493" customFormat="false" ht="15" hidden="false" customHeight="false" outlineLevel="0" collapsed="false">
      <c r="B493" s="9" t="s">
        <v>245</v>
      </c>
      <c r="C493" s="20" t="s">
        <v>206</v>
      </c>
      <c r="D493" s="29" t="n">
        <f aca="false">D492/D485</f>
        <v>0.85862499493144</v>
      </c>
      <c r="E493" s="29" t="n">
        <f aca="false">E492/E485</f>
        <v>0.821206244267066</v>
      </c>
      <c r="F493" s="29" t="n">
        <f aca="false">F492/F485</f>
        <v>0.824475244643312</v>
      </c>
      <c r="G493" s="29" t="n">
        <f aca="false">G492/G485</f>
        <v>0.850294127696845</v>
      </c>
      <c r="H493" s="29" t="n">
        <f aca="false">H492/H485</f>
        <v>0.88360331078442</v>
      </c>
      <c r="I493" s="29" t="n">
        <f aca="false">I492/I485</f>
        <v>0.88738444083386</v>
      </c>
    </row>
    <row r="494" customFormat="false" ht="15" hidden="false" customHeight="false" outlineLevel="0" collapsed="false">
      <c r="B494" s="9" t="s">
        <v>246</v>
      </c>
      <c r="C494" s="20" t="s">
        <v>61</v>
      </c>
      <c r="D494" s="17" t="n">
        <f aca="false">D492/D479</f>
        <v>2.48902280701754</v>
      </c>
      <c r="E494" s="17" t="n">
        <f aca="false">E492/E479</f>
        <v>2.81700799289521</v>
      </c>
      <c r="F494" s="17" t="n">
        <f aca="false">F492/F479</f>
        <v>3.2610071942446</v>
      </c>
      <c r="G494" s="17" t="n">
        <f aca="false">G492/G479</f>
        <v>3.78856414836364</v>
      </c>
      <c r="H494" s="17" t="n">
        <f aca="false">H492/H479</f>
        <v>4.58130331002441</v>
      </c>
      <c r="I494" s="17" t="n">
        <f aca="false">I492/I479</f>
        <v>5.30434972901271</v>
      </c>
    </row>
    <row r="495" customFormat="false" ht="15" hidden="false" customHeight="false" outlineLevel="0" collapsed="false">
      <c r="B495" s="9" t="s">
        <v>247</v>
      </c>
      <c r="C495" s="20" t="s">
        <v>61</v>
      </c>
      <c r="D495" s="17" t="n">
        <f aca="false">Inputs!$D$22</f>
        <v>0.9</v>
      </c>
      <c r="E495" s="17" t="n">
        <f aca="false">Inputs!$E$22</f>
        <v>0.96</v>
      </c>
      <c r="F495" s="17" t="n">
        <f aca="false">Inputs!$F$22</f>
        <v>1.02</v>
      </c>
      <c r="G495" s="17" t="n">
        <f aca="false">Inputs!$G$22</f>
        <v>1.1</v>
      </c>
      <c r="H495" s="17" t="n">
        <f aca="false">Inputs!$H$22</f>
        <v>1.2</v>
      </c>
      <c r="I495" s="17" t="n">
        <f aca="false">Inputs!$I$22</f>
        <v>1.3</v>
      </c>
    </row>
    <row r="496" customFormat="false" ht="15" hidden="false" customHeight="false" outlineLevel="0" collapsed="false">
      <c r="B496" s="9" t="s">
        <v>248</v>
      </c>
      <c r="C496" s="20" t="s">
        <v>78</v>
      </c>
      <c r="D496" s="15" t="n">
        <f aca="false">D495*D479</f>
        <v>51.3</v>
      </c>
      <c r="E496" s="15" t="n">
        <f aca="false">E495*E479</f>
        <v>54.048</v>
      </c>
      <c r="F496" s="15" t="n">
        <f aca="false">F495*F479</f>
        <v>56.712</v>
      </c>
      <c r="G496" s="15" t="n">
        <f aca="false">G495*G479</f>
        <v>60.5</v>
      </c>
      <c r="H496" s="15" t="n">
        <f aca="false">H495*H479</f>
        <v>65.28</v>
      </c>
      <c r="I496" s="15" t="n">
        <f aca="false">I495*I479</f>
        <v>69.94</v>
      </c>
    </row>
    <row r="497" customFormat="false" ht="15" hidden="false" customHeight="false" outlineLevel="0" collapsed="false">
      <c r="B497" s="9" t="s">
        <v>48</v>
      </c>
      <c r="C497" s="20" t="s">
        <v>78</v>
      </c>
      <c r="D497" s="9"/>
      <c r="E497" s="9"/>
      <c r="F497" s="9"/>
      <c r="G497" s="15" t="n">
        <f aca="false">Inputs!$G$24</f>
        <v>55</v>
      </c>
      <c r="H497" s="15" t="n">
        <f aca="false">Inputs!$H$24</f>
        <v>55</v>
      </c>
      <c r="I497" s="15" t="n">
        <f aca="false">Inputs!$I$24</f>
        <v>55</v>
      </c>
    </row>
    <row r="498" customFormat="false" ht="15" hidden="false" customHeight="false" outlineLevel="0" collapsed="false">
      <c r="B498" s="26" t="s">
        <v>249</v>
      </c>
      <c r="C498" s="20" t="s">
        <v>78</v>
      </c>
      <c r="D498" s="27" t="n">
        <f aca="false">Inputs!$D$23</f>
        <v>1210</v>
      </c>
      <c r="E498" s="27" t="n">
        <f aca="false">Inputs!$E$23</f>
        <v>1160</v>
      </c>
      <c r="F498" s="27" t="n">
        <f aca="false">Inputs!$F$23</f>
        <v>1100</v>
      </c>
      <c r="G498" s="27" t="n">
        <f aca="false">F498-G492+G496+G497</f>
        <v>1007.12897184</v>
      </c>
      <c r="H498" s="27" t="n">
        <f aca="false">G498-H492+H496+H497</f>
        <v>878.186071774672</v>
      </c>
      <c r="I498" s="27" t="n">
        <f aca="false">H498-I492+I496+I497</f>
        <v>717.752056353789</v>
      </c>
    </row>
    <row r="499" customFormat="false" ht="15" hidden="false" customHeight="false" outlineLevel="0" collapsed="false">
      <c r="B499" s="9" t="s">
        <v>250</v>
      </c>
      <c r="C499" s="20" t="s">
        <v>251</v>
      </c>
      <c r="D499" s="30" t="n">
        <f aca="false">D498/D470</f>
        <v>3.69815703413918</v>
      </c>
      <c r="E499" s="30" t="n">
        <f aca="false">E498/E470</f>
        <v>3.1863317355894</v>
      </c>
      <c r="F499" s="30" t="n">
        <f aca="false">F498/F470</f>
        <v>2.75551102204409</v>
      </c>
      <c r="G499" s="30" t="n">
        <f aca="false">G498/G470</f>
        <v>2.29401736170637</v>
      </c>
      <c r="H499" s="30" t="n">
        <f aca="false">H498/H470</f>
        <v>1.8023219225433</v>
      </c>
      <c r="I499" s="30" t="n">
        <f aca="false">I498/I470</f>
        <v>1.33580276215163</v>
      </c>
    </row>
    <row r="500" customFormat="false" ht="15" hidden="false" customHeight="false" outlineLevel="0" collapsed="false">
      <c r="B500" s="9" t="s">
        <v>252</v>
      </c>
      <c r="C500" s="20" t="s">
        <v>78</v>
      </c>
      <c r="D500" s="15" t="n">
        <f aca="false">D473*(1-Inputs!$D$79)+D469+D471-D490-D491</f>
        <v>186.5343</v>
      </c>
      <c r="E500" s="15" t="n">
        <f aca="false">E473*(1-Inputs!$D$79)+E469+E471-E490-E491</f>
        <v>200.94755</v>
      </c>
      <c r="F500" s="15" t="n">
        <f aca="false">F473*(1-Inputs!$D$79)+F469+F471-F490-F491</f>
        <v>221.352</v>
      </c>
      <c r="G500" s="15" t="n">
        <f aca="false">G473*(1-Inputs!$D$79)+G469+G471-G490-G491</f>
        <v>250.72102816</v>
      </c>
      <c r="H500" s="15" t="n">
        <f aca="false">H473*(1-Inputs!$D$79)+H469+H471-H490-H491</f>
        <v>287.997365481168</v>
      </c>
      <c r="I500" s="15" t="n">
        <f aca="false">I473*(1-Inputs!$D$79)+I469+I471-I490-I491</f>
        <v>319.184179184208</v>
      </c>
    </row>
    <row r="501" customFormat="false" ht="15" hidden="false" customHeight="false" outlineLevel="0" collapsed="false">
      <c r="B501" s="18" t="s">
        <v>253</v>
      </c>
      <c r="C501" s="19"/>
      <c r="D501" s="19"/>
      <c r="E501" s="19"/>
      <c r="F501" s="19"/>
      <c r="G501" s="19"/>
      <c r="H501" s="19"/>
      <c r="I501" s="19"/>
    </row>
    <row r="502" customFormat="false" ht="15" hidden="false" customHeight="false" outlineLevel="0" collapsed="false">
      <c r="B502" s="9" t="s">
        <v>254</v>
      </c>
      <c r="C502" s="20" t="s">
        <v>206</v>
      </c>
      <c r="D502" s="9"/>
      <c r="E502" s="14" t="n">
        <f aca="false">(E460-D460)/(E447-D447)</f>
        <v>0.241555555555556</v>
      </c>
      <c r="F502" s="14" t="n">
        <f aca="false">(F460-E460)/(F447-E447)</f>
        <v>0.254</v>
      </c>
      <c r="G502" s="14" t="n">
        <f aca="false">(G460-F460)/(G447-F447)</f>
        <v>0.176101433296583</v>
      </c>
      <c r="H502" s="14" t="n">
        <f aca="false">(H460-G460)/(H447-G447)</f>
        <v>0.215051383399209</v>
      </c>
      <c r="I502" s="14" t="n">
        <f aca="false">(I460-H460)/(I447-H447)</f>
        <v>0.211748878923767</v>
      </c>
    </row>
    <row r="503" customFormat="false" ht="15" hidden="false" customHeight="false" outlineLevel="0" collapsed="false">
      <c r="B503" s="9" t="s">
        <v>255</v>
      </c>
      <c r="C503" s="20" t="s">
        <v>206</v>
      </c>
      <c r="D503" s="9"/>
      <c r="E503" s="14" t="n">
        <f aca="false">(E462-D462)/(E451-D451)</f>
        <v>0.280090909090909</v>
      </c>
      <c r="F503" s="14" t="n">
        <f aca="false">(F462-E462)/(F451-E451)</f>
        <v>0.284454545454545</v>
      </c>
      <c r="G503" s="14" t="n">
        <f aca="false">(G462-F462)/(G451-F451)</f>
        <v>0.300389289392379</v>
      </c>
      <c r="H503" s="14" t="n">
        <f aca="false">(H462-G462)/(H451-G451)</f>
        <v>0.293442923490589</v>
      </c>
      <c r="I503" s="14" t="n">
        <f aca="false">(I462-H462)/(I451-H451)</f>
        <v>0.284466230936819</v>
      </c>
    </row>
    <row r="504" customFormat="false" ht="15" hidden="false" customHeight="false" outlineLevel="0" collapsed="false">
      <c r="B504" s="9" t="s">
        <v>256</v>
      </c>
      <c r="C504" s="20" t="s">
        <v>206</v>
      </c>
      <c r="D504" s="9"/>
      <c r="E504" s="14" t="n">
        <f aca="false">(E464-D464)/(E455-D455)</f>
        <v>0.298333333333333</v>
      </c>
      <c r="F504" s="14" t="n">
        <f aca="false">(F464-E464)/(F455-E455)</f>
        <v>0.308333333333333</v>
      </c>
      <c r="G504" s="14" t="n">
        <f aca="false">(G464-F464)/(G455-F455)</f>
        <v>0.279764705882353</v>
      </c>
      <c r="H504" s="14" t="n">
        <f aca="false">(H464-G464)/(H455-G455)</f>
        <v>0.280562211981567</v>
      </c>
      <c r="I504" s="14" t="n">
        <f aca="false">(I464-H464)/(I455-H455)</f>
        <v>0.271041474654378</v>
      </c>
    </row>
    <row r="505" customFormat="false" ht="15" hidden="false" customHeight="false" outlineLevel="0" collapsed="false">
      <c r="B505" s="9" t="s">
        <v>257</v>
      </c>
      <c r="C505" s="20" t="s">
        <v>206</v>
      </c>
      <c r="D505" s="9"/>
      <c r="E505" s="14" t="n">
        <f aca="false">(E467-D467)/(E456-D456)</f>
        <v>0.255576923076923</v>
      </c>
      <c r="F505" s="14" t="n">
        <f aca="false">(F467-E467)/(F456-E456)</f>
        <v>0.264875</v>
      </c>
      <c r="G505" s="14" t="n">
        <f aca="false">(G467-F467)/(G456-F456)</f>
        <v>0.239563343187315</v>
      </c>
      <c r="H505" s="14" t="n">
        <f aca="false">(H467-G467)/(H456-G456)</f>
        <v>0.251808766082982</v>
      </c>
      <c r="I505" s="14" t="n">
        <f aca="false">(I467-H467)/(I456-H456)</f>
        <v>0.243336056542204</v>
      </c>
    </row>
    <row r="507" customFormat="false" ht="15" hidden="false" customHeight="false" outlineLevel="0" collapsed="false">
      <c r="B507" s="7" t="s">
        <v>422</v>
      </c>
      <c r="C507" s="8"/>
      <c r="D507" s="8" t="s">
        <v>23</v>
      </c>
      <c r="E507" s="8" t="s">
        <v>24</v>
      </c>
      <c r="F507" s="8" t="s">
        <v>25</v>
      </c>
      <c r="G507" s="8" t="s">
        <v>26</v>
      </c>
      <c r="H507" s="8" t="s">
        <v>27</v>
      </c>
      <c r="I507" s="8" t="s">
        <v>28</v>
      </c>
    </row>
    <row r="508" customFormat="false" ht="15" hidden="false" customHeight="false" outlineLevel="0" collapsed="false">
      <c r="B508" s="18" t="s">
        <v>205</v>
      </c>
      <c r="C508" s="19"/>
      <c r="D508" s="19"/>
      <c r="E508" s="19"/>
      <c r="F508" s="19"/>
      <c r="G508" s="19"/>
      <c r="H508" s="19"/>
      <c r="I508" s="19"/>
    </row>
    <row r="509" customFormat="false" ht="15" hidden="false" customHeight="false" outlineLevel="0" collapsed="false">
      <c r="B509" s="9" t="s">
        <v>32</v>
      </c>
      <c r="C509" s="20" t="s">
        <v>206</v>
      </c>
      <c r="D509" s="14" t="n">
        <f aca="false">(1+D511)/(1+D510)-1</f>
        <v>0.0103708741165327</v>
      </c>
      <c r="E509" s="14" t="n">
        <f aca="false">(1+E511)/(1+E510)-1</f>
        <v>0.0128827483196416</v>
      </c>
      <c r="F509" s="14" t="n">
        <f aca="false">(1+F511)/(1+F510)-1</f>
        <v>0.00708103855232101</v>
      </c>
      <c r="G509" s="14" t="n">
        <f aca="false">Inputs!$G$8</f>
        <v>0.01</v>
      </c>
      <c r="H509" s="14" t="n">
        <f aca="false">Inputs!$H$8</f>
        <v>0.02</v>
      </c>
      <c r="I509" s="14" t="n">
        <f aca="false">Inputs!$I$8</f>
        <v>0.025</v>
      </c>
    </row>
    <row r="510" customFormat="false" ht="15" hidden="false" customHeight="false" outlineLevel="0" collapsed="false">
      <c r="B510" s="9" t="s">
        <v>35</v>
      </c>
      <c r="C510" s="20" t="s">
        <v>206</v>
      </c>
      <c r="D510" s="14" t="n">
        <f aca="false">Inputs!$D$11</f>
        <v>0.045</v>
      </c>
      <c r="E510" s="14" t="n">
        <f aca="false">Inputs!$E$11</f>
        <v>0.03</v>
      </c>
      <c r="F510" s="14" t="n">
        <f aca="false">Inputs!$F$11</f>
        <v>0.025</v>
      </c>
      <c r="G510" s="14" t="n">
        <f aca="false">Inputs!$G$11</f>
        <v>0.025</v>
      </c>
      <c r="H510" s="14" t="n">
        <f aca="false">Inputs!$H$11</f>
        <v>0.02</v>
      </c>
      <c r="I510" s="14" t="n">
        <f aca="false">Inputs!$I$11</f>
        <v>0.02</v>
      </c>
    </row>
    <row r="511" customFormat="false" ht="15" hidden="false" customHeight="false" outlineLevel="0" collapsed="false">
      <c r="B511" s="9" t="s">
        <v>207</v>
      </c>
      <c r="C511" s="20" t="s">
        <v>206</v>
      </c>
      <c r="D511" s="14" t="n">
        <f aca="false">D512/Inputs!$C$5-1</f>
        <v>0.0558375634517767</v>
      </c>
      <c r="E511" s="14" t="n">
        <f aca="false">E512/D512-1</f>
        <v>0.0432692307692308</v>
      </c>
      <c r="F511" s="14" t="n">
        <f aca="false">F512/E512-1</f>
        <v>0.032258064516129</v>
      </c>
      <c r="G511" s="14" t="n">
        <f aca="false">(1+G509)*(1+G510)-1</f>
        <v>0.03525</v>
      </c>
      <c r="H511" s="14" t="n">
        <f aca="false">(1+H509)*(1+H510)-1</f>
        <v>0.0404</v>
      </c>
      <c r="I511" s="14" t="n">
        <f aca="false">(1+I509)*(1+I510)-1</f>
        <v>0.0454999999999999</v>
      </c>
    </row>
    <row r="512" customFormat="false" ht="15" hidden="false" customHeight="false" outlineLevel="0" collapsed="false">
      <c r="B512" s="9" t="s">
        <v>208</v>
      </c>
      <c r="C512" s="20" t="s">
        <v>78</v>
      </c>
      <c r="D512" s="15" t="n">
        <f aca="false">Inputs!$D$5</f>
        <v>1040</v>
      </c>
      <c r="E512" s="15" t="n">
        <f aca="false">Inputs!$E$5</f>
        <v>1085</v>
      </c>
      <c r="F512" s="15" t="n">
        <f aca="false">Inputs!$F$5</f>
        <v>1120</v>
      </c>
      <c r="G512" s="15" t="n">
        <f aca="false">F512*(1+G511)</f>
        <v>1159.48</v>
      </c>
      <c r="H512" s="15" t="n">
        <f aca="false">G512*(1+H511)</f>
        <v>1206.322992</v>
      </c>
      <c r="I512" s="15" t="n">
        <f aca="false">H512*(1+I511)</f>
        <v>1261.210688136</v>
      </c>
    </row>
    <row r="513" customFormat="false" ht="15" hidden="false" customHeight="false" outlineLevel="0" collapsed="false">
      <c r="B513" s="9" t="s">
        <v>33</v>
      </c>
      <c r="C513" s="20" t="s">
        <v>206</v>
      </c>
      <c r="D513" s="14" t="n">
        <f aca="false">(1+D515)/(1+D514)-1</f>
        <v>0.0661409719987125</v>
      </c>
      <c r="E513" s="14" t="n">
        <f aca="false">(1+E515)/(1+E514)-1</f>
        <v>0.0716248397142334</v>
      </c>
      <c r="F513" s="14" t="n">
        <f aca="false">(1+F515)/(1+F514)-1</f>
        <v>0.0673337502605798</v>
      </c>
      <c r="G513" s="14" t="n">
        <f aca="false">Inputs!$G$9</f>
        <v>0.06</v>
      </c>
      <c r="H513" s="14" t="n">
        <f aca="false">Inputs!$H$9</f>
        <v>0.065</v>
      </c>
      <c r="I513" s="14" t="n">
        <f aca="false">Inputs!$I$9</f>
        <v>0.06</v>
      </c>
    </row>
    <row r="514" customFormat="false" ht="15" hidden="false" customHeight="false" outlineLevel="0" collapsed="false">
      <c r="B514" s="9" t="s">
        <v>36</v>
      </c>
      <c r="C514" s="20" t="s">
        <v>206</v>
      </c>
      <c r="D514" s="14" t="n">
        <f aca="false">Inputs!$D$12</f>
        <v>0.04</v>
      </c>
      <c r="E514" s="14" t="n">
        <f aca="false">Inputs!$E$12</f>
        <v>0.03</v>
      </c>
      <c r="F514" s="14" t="n">
        <f aca="false">Inputs!$F$12</f>
        <v>0.025</v>
      </c>
      <c r="G514" s="14" t="n">
        <f aca="false">Inputs!$G$12</f>
        <v>0.025</v>
      </c>
      <c r="H514" s="14" t="n">
        <f aca="false">Inputs!$H$12</f>
        <v>0.025</v>
      </c>
      <c r="I514" s="14" t="n">
        <f aca="false">Inputs!$I$12</f>
        <v>0.02</v>
      </c>
    </row>
    <row r="515" customFormat="false" ht="15" hidden="false" customHeight="false" outlineLevel="0" collapsed="false">
      <c r="B515" s="9" t="s">
        <v>209</v>
      </c>
      <c r="C515" s="20" t="s">
        <v>206</v>
      </c>
      <c r="D515" s="14" t="n">
        <f aca="false">D516/Inputs!$C$6-1</f>
        <v>0.108786610878661</v>
      </c>
      <c r="E515" s="14" t="n">
        <f aca="false">E516/D516-1</f>
        <v>0.10377358490566</v>
      </c>
      <c r="F515" s="14" t="n">
        <f aca="false">F516/E516-1</f>
        <v>0.0940170940170941</v>
      </c>
      <c r="G515" s="14" t="n">
        <f aca="false">(1+G513)*(1+G514)-1</f>
        <v>0.0865</v>
      </c>
      <c r="H515" s="14" t="n">
        <f aca="false">(1+H513)*(1+H514)-1</f>
        <v>0.0916249999999999</v>
      </c>
      <c r="I515" s="14" t="n">
        <f aca="false">(1+I513)*(1+I514)-1</f>
        <v>0.0812000000000002</v>
      </c>
    </row>
    <row r="516" customFormat="false" ht="15" hidden="false" customHeight="false" outlineLevel="0" collapsed="false">
      <c r="B516" s="9" t="s">
        <v>210</v>
      </c>
      <c r="C516" s="20" t="s">
        <v>78</v>
      </c>
      <c r="D516" s="15" t="n">
        <f aca="false">Inputs!$D$6</f>
        <v>530</v>
      </c>
      <c r="E516" s="15" t="n">
        <f aca="false">Inputs!$E$6</f>
        <v>585</v>
      </c>
      <c r="F516" s="15" t="n">
        <f aca="false">Inputs!$F$6</f>
        <v>640</v>
      </c>
      <c r="G516" s="15" t="n">
        <f aca="false">F516*(1+G515)</f>
        <v>695.36</v>
      </c>
      <c r="H516" s="15" t="n">
        <f aca="false">G516*(1+H515)</f>
        <v>759.07236</v>
      </c>
      <c r="I516" s="15" t="n">
        <f aca="false">H516*(1+I515)</f>
        <v>820.709035632</v>
      </c>
    </row>
    <row r="517" customFormat="false" ht="15" hidden="false" customHeight="false" outlineLevel="0" collapsed="false">
      <c r="B517" s="9" t="s">
        <v>34</v>
      </c>
      <c r="C517" s="20" t="s">
        <v>206</v>
      </c>
      <c r="D517" s="14" t="n">
        <f aca="false">(1+D519)/(1+D518)-1</f>
        <v>0.0281385281385282</v>
      </c>
      <c r="E517" s="14" t="n">
        <f aca="false">(1+E519)/(1+E518)-1</f>
        <v>0.0424612255275871</v>
      </c>
      <c r="F517" s="14" t="n">
        <f aca="false">(1+F519)/(1+F518)-1</f>
        <v>0.0419133317546767</v>
      </c>
      <c r="G517" s="14" t="n">
        <f aca="false">Inputs!$G$10</f>
        <v>0.04</v>
      </c>
      <c r="H517" s="14" t="n">
        <f aca="false">Inputs!$H$10</f>
        <v>0.045</v>
      </c>
      <c r="I517" s="14" t="n">
        <f aca="false">Inputs!$I$10</f>
        <v>0.045</v>
      </c>
    </row>
    <row r="518" customFormat="false" ht="15" hidden="false" customHeight="false" outlineLevel="0" collapsed="false">
      <c r="B518" s="9" t="s">
        <v>37</v>
      </c>
      <c r="C518" s="20" t="s">
        <v>206</v>
      </c>
      <c r="D518" s="14" t="n">
        <f aca="false">Inputs!$D$13</f>
        <v>0.05</v>
      </c>
      <c r="E518" s="14" t="n">
        <f aca="false">Inputs!$E$13</f>
        <v>0.035</v>
      </c>
      <c r="F518" s="14" t="n">
        <f aca="false">Inputs!$F$13</f>
        <v>0.03</v>
      </c>
      <c r="G518" s="14" t="n">
        <f aca="false">Inputs!$G$13</f>
        <v>0.03</v>
      </c>
      <c r="H518" s="14" t="n">
        <f aca="false">Inputs!$H$13</f>
        <v>0.03</v>
      </c>
      <c r="I518" s="14" t="n">
        <f aca="false">Inputs!$I$13</f>
        <v>0.03</v>
      </c>
    </row>
    <row r="519" customFormat="false" ht="15" hidden="false" customHeight="false" outlineLevel="0" collapsed="false">
      <c r="B519" s="9" t="s">
        <v>211</v>
      </c>
      <c r="C519" s="20" t="s">
        <v>206</v>
      </c>
      <c r="D519" s="14" t="n">
        <f aca="false">D520/Inputs!$C$7-1</f>
        <v>0.0795454545454546</v>
      </c>
      <c r="E519" s="14" t="n">
        <f aca="false">E520/D520-1</f>
        <v>0.0789473684210527</v>
      </c>
      <c r="F519" s="14" t="n">
        <f aca="false">F520/E520-1</f>
        <v>0.0731707317073171</v>
      </c>
      <c r="G519" s="14" t="n">
        <f aca="false">(1+G517)*(1+G518)-1</f>
        <v>0.0712000000000002</v>
      </c>
      <c r="H519" s="14" t="n">
        <f aca="false">(1+H517)*(1+H518)-1</f>
        <v>0.0763499999999999</v>
      </c>
      <c r="I519" s="14" t="n">
        <f aca="false">(1+I517)*(1+I518)-1</f>
        <v>0.0763499999999999</v>
      </c>
    </row>
    <row r="520" customFormat="false" ht="15" hidden="false" customHeight="false" outlineLevel="0" collapsed="false">
      <c r="B520" s="9" t="s">
        <v>212</v>
      </c>
      <c r="C520" s="20" t="s">
        <v>78</v>
      </c>
      <c r="D520" s="15" t="n">
        <f aca="false">Inputs!$D$7</f>
        <v>380</v>
      </c>
      <c r="E520" s="15" t="n">
        <f aca="false">Inputs!$E$7</f>
        <v>410</v>
      </c>
      <c r="F520" s="15" t="n">
        <f aca="false">Inputs!$F$7</f>
        <v>440</v>
      </c>
      <c r="G520" s="15" t="n">
        <f aca="false">F520*(1+G519)</f>
        <v>471.328</v>
      </c>
      <c r="H520" s="15" t="n">
        <f aca="false">G520*(1+H519)</f>
        <v>507.3138928</v>
      </c>
      <c r="I520" s="15" t="n">
        <f aca="false">H520*(1+I519)</f>
        <v>546.04730851528</v>
      </c>
    </row>
    <row r="521" customFormat="false" ht="15" hidden="false" customHeight="false" outlineLevel="0" collapsed="false">
      <c r="B521" s="26" t="s">
        <v>213</v>
      </c>
      <c r="C521" s="20" t="s">
        <v>78</v>
      </c>
      <c r="D521" s="27" t="n">
        <f aca="false">D512+D516+D520</f>
        <v>1950</v>
      </c>
      <c r="E521" s="27" t="n">
        <f aca="false">E512+E516+E520</f>
        <v>2080</v>
      </c>
      <c r="F521" s="27" t="n">
        <f aca="false">F512+F516+F520</f>
        <v>2200</v>
      </c>
      <c r="G521" s="27" t="n">
        <f aca="false">G512+G516+G520</f>
        <v>2326.168</v>
      </c>
      <c r="H521" s="27" t="n">
        <f aca="false">H512+H516+H520</f>
        <v>2472.7092448</v>
      </c>
      <c r="I521" s="27" t="n">
        <f aca="false">I512+I516+I520</f>
        <v>2627.96703228328</v>
      </c>
    </row>
    <row r="522" customFormat="false" ht="15" hidden="false" customHeight="false" outlineLevel="0" collapsed="false">
      <c r="B522" s="9" t="s">
        <v>214</v>
      </c>
      <c r="C522" s="20" t="s">
        <v>206</v>
      </c>
      <c r="D522" s="14" t="n">
        <f aca="false">D521/(Inputs!$C$5+Inputs!$C$6+Inputs!$C$7)-1</f>
        <v>0.0743801652892562</v>
      </c>
      <c r="E522" s="14" t="n">
        <f aca="false">E521/D521-1</f>
        <v>0.0666666666666667</v>
      </c>
      <c r="F522" s="14" t="n">
        <f aca="false">F521/E521-1</f>
        <v>0.0576923076923077</v>
      </c>
      <c r="G522" s="14" t="n">
        <f aca="false">G521/F521-1</f>
        <v>0.057349090909091</v>
      </c>
      <c r="H522" s="14" t="n">
        <f aca="false">H521/G521-1</f>
        <v>0.0629968449398324</v>
      </c>
      <c r="I522" s="14" t="n">
        <f aca="false">I521/H521-1</f>
        <v>0.062788533593175</v>
      </c>
    </row>
    <row r="523" customFormat="false" ht="15" hidden="false" customHeight="false" outlineLevel="0" collapsed="false">
      <c r="B523" s="18" t="s">
        <v>215</v>
      </c>
      <c r="C523" s="19"/>
      <c r="D523" s="19"/>
      <c r="E523" s="19"/>
      <c r="F523" s="19"/>
      <c r="G523" s="19"/>
      <c r="H523" s="19"/>
      <c r="I523" s="19"/>
    </row>
    <row r="524" customFormat="false" ht="15" hidden="false" customHeight="false" outlineLevel="0" collapsed="false">
      <c r="B524" s="9" t="s">
        <v>38</v>
      </c>
      <c r="C524" s="20" t="s">
        <v>206</v>
      </c>
      <c r="D524" s="14" t="n">
        <f aca="false">Inputs!$D$14</f>
        <v>0.121</v>
      </c>
      <c r="E524" s="14" t="n">
        <f aca="false">Inputs!$E$14</f>
        <v>0.126</v>
      </c>
      <c r="F524" s="14" t="n">
        <f aca="false">Inputs!$F$14</f>
        <v>0.13</v>
      </c>
      <c r="G524" s="14" t="n">
        <f aca="false">Inputs!$G$14</f>
        <v>0.132</v>
      </c>
      <c r="H524" s="14" t="n">
        <f aca="false">Inputs!$H$14</f>
        <v>0.136</v>
      </c>
      <c r="I524" s="14" t="n">
        <f aca="false">Inputs!$I$14</f>
        <v>0.14</v>
      </c>
    </row>
    <row r="525" customFormat="false" ht="15" hidden="false" customHeight="false" outlineLevel="0" collapsed="false">
      <c r="B525" s="9" t="s">
        <v>216</v>
      </c>
      <c r="C525" s="20" t="s">
        <v>78</v>
      </c>
      <c r="D525" s="15" t="n">
        <f aca="false">D512*D524</f>
        <v>125.84</v>
      </c>
      <c r="E525" s="15" t="n">
        <f aca="false">E512*E524</f>
        <v>136.71</v>
      </c>
      <c r="F525" s="15" t="n">
        <f aca="false">F512*F524</f>
        <v>145.6</v>
      </c>
      <c r="G525" s="15" t="n">
        <f aca="false">G512*G524</f>
        <v>153.05136</v>
      </c>
      <c r="H525" s="15" t="n">
        <f aca="false">H512*H524</f>
        <v>164.059926912</v>
      </c>
      <c r="I525" s="15" t="n">
        <f aca="false">I512*I524</f>
        <v>176.56949633904</v>
      </c>
    </row>
    <row r="526" customFormat="false" ht="15" hidden="false" customHeight="false" outlineLevel="0" collapsed="false">
      <c r="B526" s="9" t="s">
        <v>39</v>
      </c>
      <c r="C526" s="20" t="s">
        <v>206</v>
      </c>
      <c r="D526" s="14" t="n">
        <f aca="false">Inputs!$D$15</f>
        <v>0.195</v>
      </c>
      <c r="E526" s="14" t="n">
        <f aca="false">Inputs!$E$15</f>
        <v>0.203</v>
      </c>
      <c r="F526" s="14" t="n">
        <f aca="false">Inputs!$F$15</f>
        <v>0.21</v>
      </c>
      <c r="G526" s="14" t="n">
        <f aca="false">Inputs!$G$15</f>
        <v>0.218</v>
      </c>
      <c r="H526" s="14" t="n">
        <f aca="false">Inputs!$H$15</f>
        <v>0.225</v>
      </c>
      <c r="I526" s="14" t="n">
        <f aca="false">Inputs!$I$15</f>
        <v>0.23</v>
      </c>
    </row>
    <row r="527" customFormat="false" ht="15" hidden="false" customHeight="false" outlineLevel="0" collapsed="false">
      <c r="B527" s="9" t="s">
        <v>217</v>
      </c>
      <c r="C527" s="20" t="s">
        <v>78</v>
      </c>
      <c r="D527" s="15" t="n">
        <f aca="false">D516*D526</f>
        <v>103.35</v>
      </c>
      <c r="E527" s="15" t="n">
        <f aca="false">E516*E526</f>
        <v>118.755</v>
      </c>
      <c r="F527" s="15" t="n">
        <f aca="false">F516*F526</f>
        <v>134.4</v>
      </c>
      <c r="G527" s="15" t="n">
        <f aca="false">G516*G526</f>
        <v>151.58848</v>
      </c>
      <c r="H527" s="15" t="n">
        <f aca="false">H516*H526</f>
        <v>170.791281</v>
      </c>
      <c r="I527" s="15" t="n">
        <f aca="false">I516*I526</f>
        <v>188.76307819536</v>
      </c>
    </row>
    <row r="528" customFormat="false" ht="15" hidden="false" customHeight="false" outlineLevel="0" collapsed="false">
      <c r="B528" s="9" t="s">
        <v>40</v>
      </c>
      <c r="C528" s="20" t="s">
        <v>206</v>
      </c>
      <c r="D528" s="14" t="n">
        <f aca="false">Inputs!$D$16</f>
        <v>0.23</v>
      </c>
      <c r="E528" s="14" t="n">
        <f aca="false">Inputs!$E$16</f>
        <v>0.235</v>
      </c>
      <c r="F528" s="14" t="n">
        <f aca="false">Inputs!$F$16</f>
        <v>0.24</v>
      </c>
      <c r="G528" s="14" t="n">
        <f aca="false">Inputs!$G$16</f>
        <v>0.243</v>
      </c>
      <c r="H528" s="14" t="n">
        <f aca="false">Inputs!$H$16</f>
        <v>0.246</v>
      </c>
      <c r="I528" s="14" t="n">
        <f aca="false">Inputs!$I$16</f>
        <v>0.248</v>
      </c>
    </row>
    <row r="529" customFormat="false" ht="15" hidden="false" customHeight="false" outlineLevel="0" collapsed="false">
      <c r="B529" s="9" t="s">
        <v>218</v>
      </c>
      <c r="C529" s="20" t="s">
        <v>78</v>
      </c>
      <c r="D529" s="15" t="n">
        <f aca="false">D520*D528</f>
        <v>87.4</v>
      </c>
      <c r="E529" s="15" t="n">
        <f aca="false">E520*E528</f>
        <v>96.35</v>
      </c>
      <c r="F529" s="15" t="n">
        <f aca="false">F520*F528</f>
        <v>105.6</v>
      </c>
      <c r="G529" s="15" t="n">
        <f aca="false">G520*G528</f>
        <v>114.532704</v>
      </c>
      <c r="H529" s="15" t="n">
        <f aca="false">H520*H528</f>
        <v>124.7992176288</v>
      </c>
      <c r="I529" s="15" t="n">
        <f aca="false">I520*I528</f>
        <v>135.419732511789</v>
      </c>
    </row>
    <row r="530" customFormat="false" ht="15" hidden="false" customHeight="false" outlineLevel="0" collapsed="false">
      <c r="B530" s="9" t="s">
        <v>219</v>
      </c>
      <c r="C530" s="20" t="s">
        <v>78</v>
      </c>
      <c r="D530" s="15" t="n">
        <f aca="false">D525+D527+D529</f>
        <v>316.59</v>
      </c>
      <c r="E530" s="15" t="n">
        <f aca="false">E525+E527+E529</f>
        <v>351.815</v>
      </c>
      <c r="F530" s="15" t="n">
        <f aca="false">F525+F527+F529</f>
        <v>385.6</v>
      </c>
      <c r="G530" s="15" t="n">
        <f aca="false">G525+G527+G529</f>
        <v>419.172544</v>
      </c>
      <c r="H530" s="15" t="n">
        <f aca="false">H525+H527+H529</f>
        <v>459.6504255408</v>
      </c>
      <c r="I530" s="15" t="n">
        <f aca="false">I525+I527+I529</f>
        <v>500.752307046189</v>
      </c>
    </row>
    <row r="531" customFormat="false" ht="15" hidden="false" customHeight="false" outlineLevel="0" collapsed="false">
      <c r="B531" s="9" t="s">
        <v>41</v>
      </c>
      <c r="C531" s="20" t="s">
        <v>78</v>
      </c>
      <c r="D531" s="15" t="n">
        <f aca="false">Inputs!$D$17</f>
        <v>44</v>
      </c>
      <c r="E531" s="15" t="n">
        <f aca="false">Inputs!$E$17</f>
        <v>46</v>
      </c>
      <c r="F531" s="15" t="n">
        <f aca="false">Inputs!$F$17</f>
        <v>48</v>
      </c>
      <c r="G531" s="15" t="n">
        <f aca="false">Inputs!$G$17</f>
        <v>50</v>
      </c>
      <c r="H531" s="15" t="n">
        <f aca="false">Inputs!$H$17</f>
        <v>52</v>
      </c>
      <c r="I531" s="15" t="n">
        <f aca="false">Inputs!$I$17</f>
        <v>54</v>
      </c>
    </row>
    <row r="532" customFormat="false" ht="15" hidden="false" customHeight="false" outlineLevel="0" collapsed="false">
      <c r="B532" s="26" t="s">
        <v>220</v>
      </c>
      <c r="C532" s="20" t="s">
        <v>78</v>
      </c>
      <c r="D532" s="27" t="n">
        <f aca="false">D530-D531</f>
        <v>272.59</v>
      </c>
      <c r="E532" s="27" t="n">
        <f aca="false">E530-E531</f>
        <v>305.815</v>
      </c>
      <c r="F532" s="27" t="n">
        <f aca="false">F530-F531</f>
        <v>337.6</v>
      </c>
      <c r="G532" s="27" t="n">
        <f aca="false">G530-G531</f>
        <v>369.172544</v>
      </c>
      <c r="H532" s="27" t="n">
        <f aca="false">H530-H531</f>
        <v>407.6504255408</v>
      </c>
      <c r="I532" s="27" t="n">
        <f aca="false">I530-I531</f>
        <v>446.752307046189</v>
      </c>
    </row>
    <row r="533" customFormat="false" ht="15" hidden="false" customHeight="false" outlineLevel="0" collapsed="false">
      <c r="B533" s="9" t="s">
        <v>221</v>
      </c>
      <c r="C533" s="20" t="s">
        <v>206</v>
      </c>
      <c r="D533" s="14" t="n">
        <f aca="false">D532/D521</f>
        <v>0.139789743589744</v>
      </c>
      <c r="E533" s="14" t="n">
        <f aca="false">E532/E521</f>
        <v>0.147026442307692</v>
      </c>
      <c r="F533" s="14" t="n">
        <f aca="false">F532/F521</f>
        <v>0.153454545454545</v>
      </c>
      <c r="G533" s="14" t="n">
        <f aca="false">G532/G521</f>
        <v>0.158704162382081</v>
      </c>
      <c r="H533" s="14" t="n">
        <f aca="false">H532/H521</f>
        <v>0.164859829920591</v>
      </c>
      <c r="I533" s="14" t="n">
        <f aca="false">I532/I521</f>
        <v>0.169999205301306</v>
      </c>
    </row>
    <row r="534" customFormat="false" ht="15" hidden="false" customHeight="false" outlineLevel="0" collapsed="false">
      <c r="B534" s="9" t="s">
        <v>222</v>
      </c>
      <c r="C534" s="20" t="s">
        <v>78</v>
      </c>
      <c r="D534" s="15" t="n">
        <f aca="false">D521*Inputs!$D$80</f>
        <v>54.6</v>
      </c>
      <c r="E534" s="15" t="n">
        <f aca="false">E521*Inputs!$D$80</f>
        <v>58.24</v>
      </c>
      <c r="F534" s="15" t="n">
        <f aca="false">F521*Inputs!$D$80</f>
        <v>61.6</v>
      </c>
      <c r="G534" s="15" t="n">
        <f aca="false">G521*Inputs!$D$80</f>
        <v>65.132704</v>
      </c>
      <c r="H534" s="15" t="n">
        <f aca="false">H521*Inputs!$D$80</f>
        <v>69.2358588544</v>
      </c>
      <c r="I534" s="15" t="n">
        <f aca="false">I521*Inputs!$D$80</f>
        <v>73.5830769039318</v>
      </c>
    </row>
    <row r="535" customFormat="false" ht="15" hidden="false" customHeight="false" outlineLevel="0" collapsed="false">
      <c r="B535" s="9" t="s">
        <v>223</v>
      </c>
      <c r="C535" s="20" t="s">
        <v>78</v>
      </c>
      <c r="D535" s="15" t="n">
        <f aca="false">D532+D534</f>
        <v>327.19</v>
      </c>
      <c r="E535" s="15" t="n">
        <f aca="false">E532+E534</f>
        <v>364.055</v>
      </c>
      <c r="F535" s="15" t="n">
        <f aca="false">F532+F534</f>
        <v>399.2</v>
      </c>
      <c r="G535" s="15" t="n">
        <f aca="false">G532+G534</f>
        <v>434.305248</v>
      </c>
      <c r="H535" s="15" t="n">
        <f aca="false">H532+H534</f>
        <v>476.8862843952</v>
      </c>
      <c r="I535" s="15" t="n">
        <f aca="false">I532+I534</f>
        <v>520.335383950121</v>
      </c>
    </row>
    <row r="536" customFormat="false" ht="15" hidden="false" customHeight="false" outlineLevel="0" collapsed="false">
      <c r="B536" s="9" t="s">
        <v>42</v>
      </c>
      <c r="C536" s="20" t="s">
        <v>78</v>
      </c>
      <c r="D536" s="15" t="n">
        <f aca="false">Inputs!$D$18</f>
        <v>38</v>
      </c>
      <c r="E536" s="15" t="n">
        <f aca="false">Inputs!$E$18</f>
        <v>38</v>
      </c>
      <c r="F536" s="15" t="n">
        <f aca="false">Inputs!$F$18</f>
        <v>38</v>
      </c>
      <c r="G536" s="15" t="n">
        <f aca="false">Inputs!$G$18</f>
        <v>38</v>
      </c>
      <c r="H536" s="15" t="n">
        <f aca="false">Inputs!$H$18</f>
        <v>36</v>
      </c>
      <c r="I536" s="15" t="n">
        <f aca="false">Inputs!$I$18</f>
        <v>34</v>
      </c>
    </row>
    <row r="537" customFormat="false" ht="15" hidden="false" customHeight="false" outlineLevel="0" collapsed="false">
      <c r="B537" s="9" t="s">
        <v>43</v>
      </c>
      <c r="C537" s="20" t="s">
        <v>78</v>
      </c>
      <c r="D537" s="15" t="n">
        <f aca="false">Inputs!$D$19</f>
        <v>0</v>
      </c>
      <c r="E537" s="15" t="n">
        <f aca="false">Inputs!$E$19</f>
        <v>15</v>
      </c>
      <c r="F537" s="15" t="n">
        <f aca="false">Inputs!$F$19</f>
        <v>22</v>
      </c>
      <c r="G537" s="15" t="n">
        <f aca="false">Inputs!$G$19</f>
        <v>12</v>
      </c>
      <c r="H537" s="15" t="n">
        <f aca="false">Inputs!$H$19</f>
        <v>0</v>
      </c>
      <c r="I537" s="15" t="n">
        <f aca="false">Inputs!$I$19</f>
        <v>0</v>
      </c>
    </row>
    <row r="538" customFormat="false" ht="15" hidden="false" customHeight="false" outlineLevel="0" collapsed="false">
      <c r="B538" s="9" t="s">
        <v>224</v>
      </c>
      <c r="C538" s="20" t="s">
        <v>78</v>
      </c>
      <c r="D538" s="15" t="n">
        <f aca="false">D532-D536-D537</f>
        <v>234.59</v>
      </c>
      <c r="E538" s="15" t="n">
        <f aca="false">E532-E536-E537</f>
        <v>252.815</v>
      </c>
      <c r="F538" s="15" t="n">
        <f aca="false">F532-F536-F537</f>
        <v>277.6</v>
      </c>
      <c r="G538" s="15" t="n">
        <f aca="false">G532-G536-G537</f>
        <v>319.172544</v>
      </c>
      <c r="H538" s="15" t="n">
        <f aca="false">H532-H536-H537</f>
        <v>371.6504255408</v>
      </c>
      <c r="I538" s="15" t="n">
        <f aca="false">I532-I536-I537</f>
        <v>412.752307046189</v>
      </c>
    </row>
    <row r="539" customFormat="false" ht="15" hidden="false" customHeight="false" outlineLevel="0" collapsed="false">
      <c r="B539" s="18" t="s">
        <v>225</v>
      </c>
      <c r="C539" s="19"/>
      <c r="D539" s="19"/>
      <c r="E539" s="19"/>
      <c r="F539" s="19"/>
      <c r="G539" s="19"/>
      <c r="H539" s="19"/>
      <c r="I539" s="19"/>
    </row>
    <row r="540" customFormat="false" ht="15" hidden="false" customHeight="false" outlineLevel="0" collapsed="false">
      <c r="B540" s="9" t="s">
        <v>226</v>
      </c>
      <c r="C540" s="20" t="s">
        <v>78</v>
      </c>
      <c r="D540" s="15" t="n">
        <f aca="false">Inputs!$D$20</f>
        <v>58</v>
      </c>
      <c r="E540" s="15" t="n">
        <f aca="false">Inputs!$E$20</f>
        <v>55</v>
      </c>
      <c r="F540" s="15" t="n">
        <f aca="false">Inputs!$F$20</f>
        <v>52</v>
      </c>
      <c r="G540" s="15" t="n">
        <f aca="false">F563*Inputs!$D$83</f>
        <v>55</v>
      </c>
      <c r="H540" s="15" t="n">
        <f aca="false">G563*Inputs!$D$83</f>
        <v>50.5692752</v>
      </c>
      <c r="I540" s="15" t="n">
        <f aca="false">H563*Inputs!$D$83</f>
        <v>44.55614511438</v>
      </c>
    </row>
    <row r="541" customFormat="false" ht="15" hidden="false" customHeight="false" outlineLevel="0" collapsed="false">
      <c r="B541" s="9" t="s">
        <v>227</v>
      </c>
      <c r="C541" s="20" t="s">
        <v>78</v>
      </c>
      <c r="D541" s="15" t="n">
        <f aca="false">D538-D540</f>
        <v>176.59</v>
      </c>
      <c r="E541" s="15" t="n">
        <f aca="false">E538-E540</f>
        <v>197.815</v>
      </c>
      <c r="F541" s="15" t="n">
        <f aca="false">F538-F540</f>
        <v>225.6</v>
      </c>
      <c r="G541" s="15" t="n">
        <f aca="false">G538-G540</f>
        <v>264.172544</v>
      </c>
      <c r="H541" s="15" t="n">
        <f aca="false">H538-H540</f>
        <v>321.0811503408</v>
      </c>
      <c r="I541" s="15" t="n">
        <f aca="false">I538-I540</f>
        <v>368.196161931809</v>
      </c>
    </row>
    <row r="542" customFormat="false" ht="15" hidden="false" customHeight="false" outlineLevel="0" collapsed="false">
      <c r="B542" s="9" t="s">
        <v>228</v>
      </c>
      <c r="C542" s="20" t="s">
        <v>78</v>
      </c>
      <c r="D542" s="15" t="n">
        <f aca="false">D541*$D$8</f>
        <v>44.1475</v>
      </c>
      <c r="E542" s="15" t="n">
        <f aca="false">E541*$D$8</f>
        <v>49.45375</v>
      </c>
      <c r="F542" s="15" t="n">
        <f aca="false">F541*$D$8</f>
        <v>56.4</v>
      </c>
      <c r="G542" s="15" t="n">
        <f aca="false">G541*$D$8</f>
        <v>66.043136</v>
      </c>
      <c r="H542" s="15" t="n">
        <f aca="false">H541*$D$8</f>
        <v>80.2702875852</v>
      </c>
      <c r="I542" s="15" t="n">
        <f aca="false">I541*$D$8</f>
        <v>92.0490404829524</v>
      </c>
    </row>
    <row r="543" customFormat="false" ht="15" hidden="false" customHeight="false" outlineLevel="0" collapsed="false">
      <c r="B543" s="9" t="s">
        <v>229</v>
      </c>
      <c r="C543" s="20" t="s">
        <v>78</v>
      </c>
      <c r="D543" s="15" t="n">
        <f aca="false">D541-D542</f>
        <v>132.4425</v>
      </c>
      <c r="E543" s="15" t="n">
        <f aca="false">E541-E542</f>
        <v>148.36125</v>
      </c>
      <c r="F543" s="15" t="n">
        <f aca="false">F541-F542</f>
        <v>169.2</v>
      </c>
      <c r="G543" s="15" t="n">
        <f aca="false">G541-G542</f>
        <v>198.129408</v>
      </c>
      <c r="H543" s="15" t="n">
        <f aca="false">H541-H542</f>
        <v>240.8108627556</v>
      </c>
      <c r="I543" s="15" t="n">
        <f aca="false">I541-I542</f>
        <v>276.147121448857</v>
      </c>
    </row>
    <row r="544" customFormat="false" ht="15" hidden="false" customHeight="false" outlineLevel="0" collapsed="false">
      <c r="B544" s="9" t="s">
        <v>230</v>
      </c>
      <c r="C544" s="20" t="s">
        <v>231</v>
      </c>
      <c r="D544" s="16" t="n">
        <f aca="false">Inputs!$D$21</f>
        <v>57</v>
      </c>
      <c r="E544" s="16" t="n">
        <f aca="false">Inputs!$E$21</f>
        <v>56.3</v>
      </c>
      <c r="F544" s="16" t="n">
        <f aca="false">Inputs!$F$21</f>
        <v>55.6</v>
      </c>
      <c r="G544" s="16" t="n">
        <f aca="false">Inputs!$G$21</f>
        <v>55</v>
      </c>
      <c r="H544" s="16" t="n">
        <f aca="false">Inputs!$H$21</f>
        <v>54.4</v>
      </c>
      <c r="I544" s="16" t="n">
        <f aca="false">Inputs!$I$21</f>
        <v>53.8</v>
      </c>
    </row>
    <row r="545" customFormat="false" ht="15" hidden="false" customHeight="false" outlineLevel="0" collapsed="false">
      <c r="B545" s="26" t="s">
        <v>232</v>
      </c>
      <c r="C545" s="20" t="s">
        <v>61</v>
      </c>
      <c r="D545" s="28" t="n">
        <f aca="false">D543/D544</f>
        <v>2.32355263157895</v>
      </c>
      <c r="E545" s="28" t="n">
        <f aca="false">E543/E544</f>
        <v>2.63519094138544</v>
      </c>
      <c r="F545" s="28" t="n">
        <f aca="false">F543/F544</f>
        <v>3.0431654676259</v>
      </c>
      <c r="G545" s="28" t="n">
        <f aca="false">G543/G544</f>
        <v>3.60235287272727</v>
      </c>
      <c r="H545" s="28" t="n">
        <f aca="false">H543/H544</f>
        <v>4.42667027124265</v>
      </c>
      <c r="I545" s="28" t="n">
        <f aca="false">I543/I544</f>
        <v>5.13284612358471</v>
      </c>
    </row>
    <row r="546" customFormat="false" ht="15" hidden="false" customHeight="false" outlineLevel="0" collapsed="false">
      <c r="B546" s="18" t="s">
        <v>233</v>
      </c>
      <c r="C546" s="19"/>
      <c r="D546" s="19"/>
      <c r="E546" s="19"/>
      <c r="F546" s="19"/>
      <c r="G546" s="19"/>
      <c r="H546" s="19"/>
      <c r="I546" s="19"/>
    </row>
    <row r="547" customFormat="false" ht="15" hidden="false" customHeight="false" outlineLevel="0" collapsed="false">
      <c r="B547" s="9" t="s">
        <v>234</v>
      </c>
      <c r="C547" s="20" t="s">
        <v>61</v>
      </c>
      <c r="D547" s="17" t="n">
        <f aca="false">D536*(1-$D$8)/D544</f>
        <v>0.5</v>
      </c>
      <c r="E547" s="17" t="n">
        <f aca="false">E536*(1-$D$8)/E544</f>
        <v>0.506216696269982</v>
      </c>
      <c r="F547" s="17" t="n">
        <f aca="false">F536*(1-$D$8)/F544</f>
        <v>0.512589928057554</v>
      </c>
      <c r="G547" s="17" t="n">
        <f aca="false">G536*(1-$D$8)/G544</f>
        <v>0.518181818181818</v>
      </c>
      <c r="H547" s="17" t="n">
        <f aca="false">H536*(1-$D$8)/H544</f>
        <v>0.496323529411765</v>
      </c>
      <c r="I547" s="17" t="n">
        <f aca="false">I536*(1-$D$8)/I544</f>
        <v>0.473977695167286</v>
      </c>
    </row>
    <row r="548" customFormat="false" ht="15" hidden="false" customHeight="false" outlineLevel="0" collapsed="false">
      <c r="B548" s="9" t="s">
        <v>235</v>
      </c>
      <c r="C548" s="20" t="s">
        <v>61</v>
      </c>
      <c r="D548" s="17" t="n">
        <f aca="false">D537*(1-$D$8)/D544</f>
        <v>0</v>
      </c>
      <c r="E548" s="17" t="n">
        <f aca="false">E537*(1-$D$8)/E544</f>
        <v>0.199822380106572</v>
      </c>
      <c r="F548" s="17" t="n">
        <f aca="false">F537*(1-$D$8)/F544</f>
        <v>0.296762589928058</v>
      </c>
      <c r="G548" s="17" t="n">
        <f aca="false">G537*(1-$D$8)/G544</f>
        <v>0.163636363636364</v>
      </c>
      <c r="H548" s="17" t="n">
        <f aca="false">H537*(1-$D$8)/H544</f>
        <v>0</v>
      </c>
      <c r="I548" s="17" t="n">
        <f aca="false">I537*(1-$D$8)/I544</f>
        <v>0</v>
      </c>
    </row>
    <row r="549" customFormat="false" ht="15" hidden="false" customHeight="false" outlineLevel="0" collapsed="false">
      <c r="B549" s="9" t="s">
        <v>236</v>
      </c>
      <c r="C549" s="20" t="s">
        <v>78</v>
      </c>
      <c r="D549" s="15" t="n">
        <f aca="false">(D536+D537)*(1-$D$8)</f>
        <v>28.5</v>
      </c>
      <c r="E549" s="15" t="n">
        <f aca="false">(E536+E537)*(1-$D$8)</f>
        <v>39.75</v>
      </c>
      <c r="F549" s="15" t="n">
        <f aca="false">(F536+F537)*(1-$D$8)</f>
        <v>45</v>
      </c>
      <c r="G549" s="15" t="n">
        <f aca="false">(G536+G537)*(1-$D$8)</f>
        <v>37.5</v>
      </c>
      <c r="H549" s="15" t="n">
        <f aca="false">(H536+H537)*(1-$D$8)</f>
        <v>27</v>
      </c>
      <c r="I549" s="15" t="n">
        <f aca="false">(I536+I537)*(1-$D$8)</f>
        <v>25.5</v>
      </c>
    </row>
    <row r="550" customFormat="false" ht="15" hidden="false" customHeight="false" outlineLevel="0" collapsed="false">
      <c r="B550" s="9" t="s">
        <v>237</v>
      </c>
      <c r="C550" s="20" t="s">
        <v>78</v>
      </c>
      <c r="D550" s="15" t="n">
        <f aca="false">D543+D549</f>
        <v>160.9425</v>
      </c>
      <c r="E550" s="15" t="n">
        <f aca="false">E543+E549</f>
        <v>188.11125</v>
      </c>
      <c r="F550" s="15" t="n">
        <f aca="false">F543+F549</f>
        <v>214.2</v>
      </c>
      <c r="G550" s="15" t="n">
        <f aca="false">G543+G549</f>
        <v>235.629408</v>
      </c>
      <c r="H550" s="15" t="n">
        <f aca="false">H543+H549</f>
        <v>267.8108627556</v>
      </c>
      <c r="I550" s="15" t="n">
        <f aca="false">I543+I549</f>
        <v>301.647121448857</v>
      </c>
    </row>
    <row r="551" customFormat="false" ht="15" hidden="false" customHeight="false" outlineLevel="0" collapsed="false">
      <c r="B551" s="26" t="s">
        <v>238</v>
      </c>
      <c r="C551" s="20" t="s">
        <v>61</v>
      </c>
      <c r="D551" s="28" t="n">
        <f aca="false">D550/D544</f>
        <v>2.82355263157895</v>
      </c>
      <c r="E551" s="28" t="n">
        <f aca="false">E550/E544</f>
        <v>3.34123001776199</v>
      </c>
      <c r="F551" s="28" t="n">
        <f aca="false">F550/F544</f>
        <v>3.85251798561151</v>
      </c>
      <c r="G551" s="28" t="n">
        <f aca="false">G550/G544</f>
        <v>4.28417105454546</v>
      </c>
      <c r="H551" s="28" t="n">
        <f aca="false">H550/H544</f>
        <v>4.92299380065441</v>
      </c>
      <c r="I551" s="28" t="n">
        <f aca="false">I550/I544</f>
        <v>5.60682381875199</v>
      </c>
    </row>
    <row r="552" customFormat="false" ht="15" hidden="false" customHeight="false" outlineLevel="0" collapsed="false">
      <c r="B552" s="9" t="s">
        <v>239</v>
      </c>
      <c r="C552" s="20" t="s">
        <v>206</v>
      </c>
      <c r="D552" s="9"/>
      <c r="E552" s="14" t="n">
        <f aca="false">E551/D551-1</f>
        <v>0.183342566521791</v>
      </c>
      <c r="F552" s="14" t="n">
        <f aca="false">F551/E551-1</f>
        <v>0.153023875977264</v>
      </c>
      <c r="G552" s="14" t="n">
        <f aca="false">G551/F551-1</f>
        <v>0.112044400713013</v>
      </c>
      <c r="H552" s="14" t="n">
        <f aca="false">H551/G551-1</f>
        <v>0.149112334212513</v>
      </c>
      <c r="I552" s="14" t="n">
        <f aca="false">I551/H551-1</f>
        <v>0.13890531773708</v>
      </c>
    </row>
    <row r="553" customFormat="false" ht="15" hidden="false" customHeight="false" outlineLevel="0" collapsed="false">
      <c r="B553" s="9" t="s">
        <v>240</v>
      </c>
      <c r="C553" s="20" t="s">
        <v>206</v>
      </c>
      <c r="D553" s="14" t="n">
        <f aca="false">D551/D545-1</f>
        <v>0.215187722974121</v>
      </c>
      <c r="E553" s="14" t="n">
        <f aca="false">E551/E545-1</f>
        <v>0.267927103606905</v>
      </c>
      <c r="F553" s="14" t="n">
        <f aca="false">F551/F545-1</f>
        <v>0.265957446808511</v>
      </c>
      <c r="G553" s="14" t="n">
        <f aca="false">G551/G545-1</f>
        <v>0.189270236955435</v>
      </c>
      <c r="H553" s="14" t="n">
        <f aca="false">H551/H545-1</f>
        <v>0.112121187935789</v>
      </c>
      <c r="I553" s="14" t="n">
        <f aca="false">I551/I545-1</f>
        <v>0.0923420815187552</v>
      </c>
    </row>
    <row r="554" customFormat="false" ht="15" hidden="false" customHeight="false" outlineLevel="0" collapsed="false">
      <c r="B554" s="18" t="s">
        <v>241</v>
      </c>
      <c r="C554" s="19"/>
      <c r="D554" s="19"/>
      <c r="E554" s="19"/>
      <c r="F554" s="19"/>
      <c r="G554" s="19"/>
      <c r="H554" s="19"/>
      <c r="I554" s="19"/>
    </row>
    <row r="555" customFormat="false" ht="15" hidden="false" customHeight="false" outlineLevel="0" collapsed="false">
      <c r="B555" s="9" t="s">
        <v>242</v>
      </c>
      <c r="C555" s="20" t="s">
        <v>78</v>
      </c>
      <c r="D555" s="15" t="n">
        <f aca="false">D521*Inputs!$D$81</f>
        <v>62.4</v>
      </c>
      <c r="E555" s="15" t="n">
        <f aca="false">E521*Inputs!$D$81</f>
        <v>66.56</v>
      </c>
      <c r="F555" s="15" t="n">
        <f aca="false">F521*Inputs!$D$81</f>
        <v>70.4</v>
      </c>
      <c r="G555" s="15" t="n">
        <f aca="false">G521*Inputs!$D$81</f>
        <v>74.437376</v>
      </c>
      <c r="H555" s="15" t="n">
        <f aca="false">H521*Inputs!$D$81</f>
        <v>79.1266958336</v>
      </c>
      <c r="I555" s="15" t="n">
        <f aca="false">I521*Inputs!$D$81</f>
        <v>84.094945033065</v>
      </c>
    </row>
    <row r="556" customFormat="false" ht="15" hidden="false" customHeight="false" outlineLevel="0" collapsed="false">
      <c r="B556" s="9" t="s">
        <v>243</v>
      </c>
      <c r="C556" s="20" t="s">
        <v>78</v>
      </c>
      <c r="D556" s="15" t="n">
        <f aca="false">(D521-(Inputs!$C$5+Inputs!$C$6+Inputs!$C$7))*Inputs!$D$82</f>
        <v>24.3</v>
      </c>
      <c r="E556" s="15" t="n">
        <f aca="false">(E521-D521)*Inputs!$D$82</f>
        <v>23.4</v>
      </c>
      <c r="F556" s="15" t="n">
        <f aca="false">(F521-E521)*Inputs!$D$82</f>
        <v>21.6</v>
      </c>
      <c r="G556" s="15" t="n">
        <f aca="false">(G521-F521)*Inputs!$D$82</f>
        <v>22.71024</v>
      </c>
      <c r="H556" s="15" t="n">
        <f aca="false">(H521-G521)*Inputs!$D$82</f>
        <v>26.377424064</v>
      </c>
      <c r="I556" s="15" t="n">
        <f aca="false">(I521-H521)*Inputs!$D$82</f>
        <v>27.9464017469903</v>
      </c>
    </row>
    <row r="557" customFormat="false" ht="15" hidden="false" customHeight="false" outlineLevel="0" collapsed="false">
      <c r="B557" s="26" t="s">
        <v>244</v>
      </c>
      <c r="C557" s="20" t="s">
        <v>78</v>
      </c>
      <c r="D557" s="27" t="n">
        <f aca="false">D543+D534+D536-D555-D556</f>
        <v>138.3425</v>
      </c>
      <c r="E557" s="27" t="n">
        <f aca="false">E543+E534+E536-E555-E556</f>
        <v>154.64125</v>
      </c>
      <c r="F557" s="27" t="n">
        <f aca="false">F543+F534+F536-F555-F556</f>
        <v>176.8</v>
      </c>
      <c r="G557" s="27" t="n">
        <f aca="false">G543+G534+G536-G555-G556</f>
        <v>204.114496</v>
      </c>
      <c r="H557" s="27" t="n">
        <f aca="false">H543+H534+H536-H555-H556</f>
        <v>240.5426017124</v>
      </c>
      <c r="I557" s="27" t="n">
        <f aca="false">I543+I534+I536-I555-I556</f>
        <v>271.688851572734</v>
      </c>
    </row>
    <row r="558" customFormat="false" ht="15" hidden="false" customHeight="false" outlineLevel="0" collapsed="false">
      <c r="B558" s="9" t="s">
        <v>245</v>
      </c>
      <c r="C558" s="20" t="s">
        <v>206</v>
      </c>
      <c r="D558" s="29" t="n">
        <f aca="false">D557/D550</f>
        <v>0.859577178184755</v>
      </c>
      <c r="E558" s="29" t="n">
        <f aca="false">E557/E550</f>
        <v>0.822073374133658</v>
      </c>
      <c r="F558" s="29" t="n">
        <f aca="false">F557/F550</f>
        <v>0.825396825396825</v>
      </c>
      <c r="G558" s="29" t="n">
        <f aca="false">G557/G550</f>
        <v>0.866252212457284</v>
      </c>
      <c r="H558" s="29" t="n">
        <f aca="false">H557/H550</f>
        <v>0.898180899898431</v>
      </c>
      <c r="I558" s="29" t="n">
        <f aca="false">I557/I550</f>
        <v>0.900684383354201</v>
      </c>
    </row>
    <row r="559" customFormat="false" ht="15" hidden="false" customHeight="false" outlineLevel="0" collapsed="false">
      <c r="B559" s="9" t="s">
        <v>246</v>
      </c>
      <c r="C559" s="20" t="s">
        <v>61</v>
      </c>
      <c r="D559" s="17" t="n">
        <f aca="false">D557/D544</f>
        <v>2.42706140350877</v>
      </c>
      <c r="E559" s="17" t="n">
        <f aca="false">E557/E544</f>
        <v>2.74673623445826</v>
      </c>
      <c r="F559" s="17" t="n">
        <f aca="false">F557/F544</f>
        <v>3.17985611510791</v>
      </c>
      <c r="G559" s="17" t="n">
        <f aca="false">G557/G544</f>
        <v>3.71117265454546</v>
      </c>
      <c r="H559" s="17" t="n">
        <f aca="false">H557/H544</f>
        <v>4.42173900206618</v>
      </c>
      <c r="I559" s="17" t="n">
        <f aca="false">I557/I544</f>
        <v>5.04997865376828</v>
      </c>
    </row>
    <row r="560" customFormat="false" ht="15" hidden="false" customHeight="false" outlineLevel="0" collapsed="false">
      <c r="B560" s="9" t="s">
        <v>247</v>
      </c>
      <c r="C560" s="20" t="s">
        <v>61</v>
      </c>
      <c r="D560" s="17" t="n">
        <f aca="false">Inputs!$D$22</f>
        <v>0.9</v>
      </c>
      <c r="E560" s="17" t="n">
        <f aca="false">Inputs!$E$22</f>
        <v>0.96</v>
      </c>
      <c r="F560" s="17" t="n">
        <f aca="false">Inputs!$F$22</f>
        <v>1.02</v>
      </c>
      <c r="G560" s="17" t="n">
        <f aca="false">Inputs!$G$22</f>
        <v>1.1</v>
      </c>
      <c r="H560" s="17" t="n">
        <f aca="false">Inputs!$H$22</f>
        <v>1.2</v>
      </c>
      <c r="I560" s="17" t="n">
        <f aca="false">Inputs!$I$22</f>
        <v>1.3</v>
      </c>
    </row>
    <row r="561" customFormat="false" ht="15" hidden="false" customHeight="false" outlineLevel="0" collapsed="false">
      <c r="B561" s="9" t="s">
        <v>248</v>
      </c>
      <c r="C561" s="20" t="s">
        <v>78</v>
      </c>
      <c r="D561" s="15" t="n">
        <f aca="false">D560*D544</f>
        <v>51.3</v>
      </c>
      <c r="E561" s="15" t="n">
        <f aca="false">E560*E544</f>
        <v>54.048</v>
      </c>
      <c r="F561" s="15" t="n">
        <f aca="false">F560*F544</f>
        <v>56.712</v>
      </c>
      <c r="G561" s="15" t="n">
        <f aca="false">G560*G544</f>
        <v>60.5</v>
      </c>
      <c r="H561" s="15" t="n">
        <f aca="false">H560*H544</f>
        <v>65.28</v>
      </c>
      <c r="I561" s="15" t="n">
        <f aca="false">I560*I544</f>
        <v>69.94</v>
      </c>
    </row>
    <row r="562" customFormat="false" ht="15" hidden="false" customHeight="false" outlineLevel="0" collapsed="false">
      <c r="B562" s="9" t="s">
        <v>48</v>
      </c>
      <c r="C562" s="20" t="s">
        <v>78</v>
      </c>
      <c r="D562" s="9"/>
      <c r="E562" s="9"/>
      <c r="F562" s="9"/>
      <c r="G562" s="15" t="n">
        <f aca="false">Inputs!$G$24</f>
        <v>55</v>
      </c>
      <c r="H562" s="15" t="n">
        <f aca="false">Inputs!$H$24</f>
        <v>55</v>
      </c>
      <c r="I562" s="15" t="n">
        <f aca="false">Inputs!$I$24</f>
        <v>55</v>
      </c>
    </row>
    <row r="563" customFormat="false" ht="15" hidden="false" customHeight="false" outlineLevel="0" collapsed="false">
      <c r="B563" s="26" t="s">
        <v>249</v>
      </c>
      <c r="C563" s="20" t="s">
        <v>78</v>
      </c>
      <c r="D563" s="27" t="n">
        <f aca="false">Inputs!$D$23</f>
        <v>1210</v>
      </c>
      <c r="E563" s="27" t="n">
        <f aca="false">Inputs!$E$23</f>
        <v>1160</v>
      </c>
      <c r="F563" s="27" t="n">
        <f aca="false">Inputs!$F$23</f>
        <v>1100</v>
      </c>
      <c r="G563" s="27" t="n">
        <f aca="false">F563-G557+G561+G562</f>
        <v>1011.385504</v>
      </c>
      <c r="H563" s="27" t="n">
        <f aca="false">G563-H557+H561+H562</f>
        <v>891.1229022876</v>
      </c>
      <c r="I563" s="27" t="n">
        <f aca="false">H563-I557+I561+I562</f>
        <v>744.374050714866</v>
      </c>
    </row>
    <row r="564" customFormat="false" ht="15" hidden="false" customHeight="false" outlineLevel="0" collapsed="false">
      <c r="B564" s="9" t="s">
        <v>250</v>
      </c>
      <c r="C564" s="20" t="s">
        <v>251</v>
      </c>
      <c r="D564" s="30" t="n">
        <f aca="false">D563/D535</f>
        <v>3.69815703413918</v>
      </c>
      <c r="E564" s="30" t="n">
        <f aca="false">E563/E535</f>
        <v>3.1863317355894</v>
      </c>
      <c r="F564" s="30" t="n">
        <f aca="false">F563/F535</f>
        <v>2.75551102204409</v>
      </c>
      <c r="G564" s="30" t="n">
        <f aca="false">G563/G535</f>
        <v>2.32874345557068</v>
      </c>
      <c r="H564" s="30" t="n">
        <f aca="false">H563/H535</f>
        <v>1.8686276612416</v>
      </c>
      <c r="I564" s="30" t="n">
        <f aca="false">I563/I535</f>
        <v>1.43056588822378</v>
      </c>
    </row>
    <row r="565" customFormat="false" ht="15" hidden="false" customHeight="false" outlineLevel="0" collapsed="false">
      <c r="B565" s="9" t="s">
        <v>252</v>
      </c>
      <c r="C565" s="20" t="s">
        <v>78</v>
      </c>
      <c r="D565" s="15" t="n">
        <f aca="false">D538*(1-$D$8)+D534+D536-D555-D556</f>
        <v>181.8425</v>
      </c>
      <c r="E565" s="15" t="n">
        <f aca="false">E538*(1-$D$8)+E534+E536-E555-E556</f>
        <v>195.89125</v>
      </c>
      <c r="F565" s="15" t="n">
        <f aca="false">F538*(1-$D$8)+F534+F536-F555-F556</f>
        <v>215.8</v>
      </c>
      <c r="G565" s="15" t="n">
        <f aca="false">G538*(1-$D$8)+G534+G536-G555-G556</f>
        <v>245.364496</v>
      </c>
      <c r="H565" s="15" t="n">
        <f aca="false">H538*(1-$D$8)+H534+H536-H555-H556</f>
        <v>278.4695581124</v>
      </c>
      <c r="I565" s="15" t="n">
        <f aca="false">I538*(1-$D$8)+I534+I536-I555-I556</f>
        <v>305.105960408519</v>
      </c>
    </row>
    <row r="566" customFormat="false" ht="15" hidden="false" customHeight="false" outlineLevel="0" collapsed="false">
      <c r="B566" s="18" t="s">
        <v>253</v>
      </c>
      <c r="C566" s="19"/>
      <c r="D566" s="19"/>
      <c r="E566" s="19"/>
      <c r="F566" s="19"/>
      <c r="G566" s="19"/>
      <c r="H566" s="19"/>
      <c r="I566" s="19"/>
    </row>
    <row r="567" customFormat="false" ht="15" hidden="false" customHeight="false" outlineLevel="0" collapsed="false">
      <c r="B567" s="9" t="s">
        <v>254</v>
      </c>
      <c r="C567" s="20" t="s">
        <v>206</v>
      </c>
      <c r="D567" s="9"/>
      <c r="E567" s="14" t="n">
        <f aca="false">(E525-D525)/(E512-D512)</f>
        <v>0.241555555555556</v>
      </c>
      <c r="F567" s="14" t="n">
        <f aca="false">(F525-E525)/(F512-E512)</f>
        <v>0.254</v>
      </c>
      <c r="G567" s="14" t="n">
        <f aca="false">(G525-F525)/(G512-F512)</f>
        <v>0.188737588652483</v>
      </c>
      <c r="H567" s="14" t="n">
        <f aca="false">(H525-G525)/(H512-G512)</f>
        <v>0.235009900990099</v>
      </c>
      <c r="I567" s="14" t="n">
        <f aca="false">(I525-H525)/(I512-H512)</f>
        <v>0.227912087912088</v>
      </c>
    </row>
    <row r="568" customFormat="false" ht="15" hidden="false" customHeight="false" outlineLevel="0" collapsed="false">
      <c r="B568" s="9" t="s">
        <v>255</v>
      </c>
      <c r="C568" s="20" t="s">
        <v>206</v>
      </c>
      <c r="D568" s="9"/>
      <c r="E568" s="14" t="n">
        <f aca="false">(E527-D527)/(E516-D516)</f>
        <v>0.280090909090909</v>
      </c>
      <c r="F568" s="14" t="n">
        <f aca="false">(F527-E527)/(F516-E516)</f>
        <v>0.284454545454545</v>
      </c>
      <c r="G568" s="14" t="n">
        <f aca="false">(G527-F527)/(G516-F516)</f>
        <v>0.310485549132948</v>
      </c>
      <c r="H568" s="14" t="n">
        <f aca="false">(H527-G527)/(H516-G516)</f>
        <v>0.301398362892224</v>
      </c>
      <c r="I568" s="14" t="n">
        <f aca="false">(I527-H527)/(I516-H516)</f>
        <v>0.291576354679803</v>
      </c>
    </row>
    <row r="569" customFormat="false" ht="15" hidden="false" customHeight="false" outlineLevel="0" collapsed="false">
      <c r="B569" s="9" t="s">
        <v>256</v>
      </c>
      <c r="C569" s="20" t="s">
        <v>206</v>
      </c>
      <c r="D569" s="9"/>
      <c r="E569" s="14" t="n">
        <f aca="false">(E529-D529)/(E520-D520)</f>
        <v>0.298333333333333</v>
      </c>
      <c r="F569" s="14" t="n">
        <f aca="false">(F529-E529)/(F520-E520)</f>
        <v>0.308333333333333</v>
      </c>
      <c r="G569" s="14" t="n">
        <f aca="false">(G529-F529)/(G520-F520)</f>
        <v>0.285134831460674</v>
      </c>
      <c r="H569" s="14" t="n">
        <f aca="false">(H529-G529)/(H520-G520)</f>
        <v>0.285292730844794</v>
      </c>
      <c r="I569" s="14" t="n">
        <f aca="false">(I529-H529)/(I520-H520)</f>
        <v>0.274195153896529</v>
      </c>
    </row>
    <row r="570" customFormat="false" ht="15" hidden="false" customHeight="false" outlineLevel="0" collapsed="false">
      <c r="B570" s="9" t="s">
        <v>257</v>
      </c>
      <c r="C570" s="20" t="s">
        <v>206</v>
      </c>
      <c r="D570" s="9"/>
      <c r="E570" s="14" t="n">
        <f aca="false">(E532-D532)/(E521-D521)</f>
        <v>0.255576923076923</v>
      </c>
      <c r="F570" s="14" t="n">
        <f aca="false">(F532-E532)/(F521-E521)</f>
        <v>0.264875</v>
      </c>
      <c r="G570" s="14" t="n">
        <f aca="false">(G532-F532)/(G521-F521)</f>
        <v>0.250242089911864</v>
      </c>
      <c r="H570" s="14" t="n">
        <f aca="false">(H532-G532)/(H521-G521)</f>
        <v>0.262573732011862</v>
      </c>
      <c r="I570" s="14" t="n">
        <f aca="false">(I532-H532)/(I521-H521)</f>
        <v>0.251851337953663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L7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558593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12" min="3" style="0" width="12"/>
  </cols>
  <sheetData>
    <row r="1" customFormat="false" ht="6" hidden="false" customHeight="true" outlineLevel="0" collapsed="false"/>
    <row r="2" customFormat="false" ht="17.35" hidden="false" customHeight="false" outlineLevel="0" collapsed="false">
      <c r="B2" s="5" t="s">
        <v>423</v>
      </c>
    </row>
    <row r="3" customFormat="false" ht="15" hidden="false" customHeight="false" outlineLevel="0" collapsed="false">
      <c r="B3" s="6" t="s">
        <v>424</v>
      </c>
    </row>
    <row r="5" customFormat="false" ht="30" hidden="false" customHeight="true" outlineLevel="0" collapsed="false">
      <c r="B5" s="7" t="s">
        <v>425</v>
      </c>
      <c r="C5" s="8" t="s">
        <v>104</v>
      </c>
      <c r="D5" s="8" t="s">
        <v>105</v>
      </c>
      <c r="E5" s="8" t="s">
        <v>106</v>
      </c>
      <c r="F5" s="8" t="s">
        <v>107</v>
      </c>
      <c r="G5" s="8" t="s">
        <v>426</v>
      </c>
      <c r="H5" s="8" t="s">
        <v>427</v>
      </c>
      <c r="I5" s="8" t="s">
        <v>428</v>
      </c>
      <c r="J5" s="8" t="s">
        <v>429</v>
      </c>
      <c r="K5" s="8" t="s">
        <v>430</v>
      </c>
      <c r="L5" s="8" t="s">
        <v>431</v>
      </c>
    </row>
    <row r="6" customFormat="false" ht="15" hidden="false" customHeight="false" outlineLevel="0" collapsed="false">
      <c r="B6" s="9" t="str">
        <f aca="false">Inputs!B128</f>
        <v>Broker A</v>
      </c>
      <c r="C6" s="17" t="n">
        <f aca="false">Inputs!$C$128</f>
        <v>4.35</v>
      </c>
      <c r="D6" s="17" t="n">
        <f aca="false">Inputs!$D$128</f>
        <v>4.87</v>
      </c>
      <c r="E6" s="15" t="n">
        <f aca="false">Inputs!$E$128</f>
        <v>2318</v>
      </c>
      <c r="F6" s="39" t="n">
        <f aca="false">Inputs!$F$128</f>
        <v>12</v>
      </c>
      <c r="G6" s="46" t="str">
        <f aca="false">IF(F6&gt;Inputs!$D$137,"Stale","Fresh")</f>
        <v>Fresh</v>
      </c>
      <c r="H6" s="17" t="n">
        <f aca="false">IF(F6&lt;=Inputs!$D$137,C6,"")</f>
        <v>4.35</v>
      </c>
      <c r="I6" s="17" t="n">
        <f aca="false">IF(F6&lt;=Inputs!$D$137,D6,"")</f>
        <v>4.87</v>
      </c>
      <c r="J6" s="15" t="n">
        <f aca="false">IF(F6&lt;=Inputs!$D$137,E6,"")</f>
        <v>2318</v>
      </c>
      <c r="K6" s="34" t="n">
        <f aca="false">(D6-$D$34)/$D$35</f>
        <v>-0.143325094588993</v>
      </c>
      <c r="L6" s="33" t="n">
        <f aca="false">$D$42/D6-1</f>
        <v>0.0386063331218141</v>
      </c>
    </row>
    <row r="7" customFormat="false" ht="15" hidden="false" customHeight="false" outlineLevel="0" collapsed="false">
      <c r="B7" s="9" t="str">
        <f aca="false">Inputs!B129</f>
        <v>Broker B</v>
      </c>
      <c r="C7" s="17" t="n">
        <f aca="false">Inputs!$C$129</f>
        <v>4.26</v>
      </c>
      <c r="D7" s="17" t="n">
        <f aca="false">Inputs!$D$129</f>
        <v>4.73</v>
      </c>
      <c r="E7" s="15" t="n">
        <f aca="false">Inputs!$E$129</f>
        <v>2301</v>
      </c>
      <c r="F7" s="39" t="n">
        <f aca="false">Inputs!$F$129</f>
        <v>25</v>
      </c>
      <c r="G7" s="46" t="str">
        <f aca="false">IF(F7&gt;Inputs!$D$137,"Stale","Fresh")</f>
        <v>Fresh</v>
      </c>
      <c r="H7" s="17" t="n">
        <f aca="false">IF(F7&lt;=Inputs!$D$137,C7,"")</f>
        <v>4.26</v>
      </c>
      <c r="I7" s="17" t="n">
        <f aca="false">IF(F7&lt;=Inputs!$D$137,D7,"")</f>
        <v>4.73</v>
      </c>
      <c r="J7" s="15" t="n">
        <f aca="false">IF(F7&lt;=Inputs!$D$137,E7,"")</f>
        <v>2301</v>
      </c>
      <c r="K7" s="34" t="n">
        <f aca="false">(D7-$D$34)/$D$35</f>
        <v>-1.31381336706578</v>
      </c>
      <c r="L7" s="33" t="n">
        <f aca="false">$D$42/D7-1</f>
        <v>0.0693473239541722</v>
      </c>
    </row>
    <row r="8" customFormat="false" ht="15" hidden="false" customHeight="false" outlineLevel="0" collapsed="false">
      <c r="B8" s="9" t="str">
        <f aca="false">Inputs!B130</f>
        <v>Broker C</v>
      </c>
      <c r="C8" s="17" t="n">
        <f aca="false">Inputs!$C$130</f>
        <v>4.44</v>
      </c>
      <c r="D8" s="17" t="n">
        <f aca="false">Inputs!$D$130</f>
        <v>4.99</v>
      </c>
      <c r="E8" s="15" t="n">
        <f aca="false">Inputs!$E$130</f>
        <v>2330</v>
      </c>
      <c r="F8" s="39" t="n">
        <f aca="false">Inputs!$F$130</f>
        <v>8</v>
      </c>
      <c r="G8" s="46" t="str">
        <f aca="false">IF(F8&gt;Inputs!$D$137,"Stale","Fresh")</f>
        <v>Fresh</v>
      </c>
      <c r="H8" s="17" t="n">
        <f aca="false">IF(F8&lt;=Inputs!$D$137,C8,"")</f>
        <v>4.44</v>
      </c>
      <c r="I8" s="17" t="n">
        <f aca="false">IF(F8&lt;=Inputs!$D$137,D8,"")</f>
        <v>4.99</v>
      </c>
      <c r="J8" s="15" t="n">
        <f aca="false">IF(F8&lt;=Inputs!$D$137,E8,"")</f>
        <v>2330</v>
      </c>
      <c r="K8" s="34" t="n">
        <f aca="false">(D8-$D$34)/$D$35</f>
        <v>0.859950567533974</v>
      </c>
      <c r="L8" s="33" t="n">
        <f aca="false">$D$42/D8-1</f>
        <v>0.0136298281168807</v>
      </c>
    </row>
    <row r="9" customFormat="false" ht="15" hidden="false" customHeight="false" outlineLevel="0" collapsed="false">
      <c r="B9" s="9" t="str">
        <f aca="false">Inputs!B131</f>
        <v>Broker D</v>
      </c>
      <c r="C9" s="17" t="n">
        <f aca="false">Inputs!$C$131</f>
        <v>4.17</v>
      </c>
      <c r="D9" s="17" t="n">
        <f aca="false">Inputs!$D$131</f>
        <v>4.62</v>
      </c>
      <c r="E9" s="15" t="n">
        <f aca="false">Inputs!$E$131</f>
        <v>2289</v>
      </c>
      <c r="F9" s="39" t="n">
        <f aca="false">Inputs!$F$131</f>
        <v>140</v>
      </c>
      <c r="G9" s="46" t="str">
        <f aca="false">IF(F9&gt;Inputs!$D$137,"Stale","Fresh")</f>
        <v>Stale</v>
      </c>
      <c r="H9" s="17" t="str">
        <f aca="false">IF(F9&lt;=Inputs!$D$137,C9,"")</f>
        <v/>
      </c>
      <c r="I9" s="17" t="str">
        <f aca="false">IF(F9&lt;=Inputs!$D$137,D9,"")</f>
        <v/>
      </c>
      <c r="J9" s="15" t="str">
        <f aca="false">IF(F9&lt;=Inputs!$D$137,E9,"")</f>
        <v/>
      </c>
      <c r="K9" s="34" t="n">
        <f aca="false">(D9-$D$34)/$D$35</f>
        <v>-2.23348272401184</v>
      </c>
      <c r="L9" s="33" t="n">
        <f aca="false">$D$42/D9-1</f>
        <v>0.0948079745245096</v>
      </c>
    </row>
    <row r="10" customFormat="false" ht="15" hidden="false" customHeight="false" outlineLevel="0" collapsed="false">
      <c r="B10" s="9" t="str">
        <f aca="false">Inputs!B132</f>
        <v>Broker E</v>
      </c>
      <c r="C10" s="17" t="n">
        <f aca="false">Inputs!$C$132</f>
        <v>4.32</v>
      </c>
      <c r="D10" s="17" t="n">
        <f aca="false">Inputs!$D$132</f>
        <v>4.81</v>
      </c>
      <c r="E10" s="15" t="n">
        <f aca="false">Inputs!$E$132</f>
        <v>2312</v>
      </c>
      <c r="F10" s="39" t="n">
        <f aca="false">Inputs!$F$132</f>
        <v>33</v>
      </c>
      <c r="G10" s="46" t="str">
        <f aca="false">IF(F10&gt;Inputs!$D$137,"Stale","Fresh")</f>
        <v>Fresh</v>
      </c>
      <c r="H10" s="17" t="n">
        <f aca="false">IF(F10&lt;=Inputs!$D$137,C10,"")</f>
        <v>4.32</v>
      </c>
      <c r="I10" s="17" t="n">
        <f aca="false">IF(F10&lt;=Inputs!$D$137,D10,"")</f>
        <v>4.81</v>
      </c>
      <c r="J10" s="15" t="n">
        <f aca="false">IF(F10&lt;=Inputs!$D$137,E10,"")</f>
        <v>2312</v>
      </c>
      <c r="K10" s="34" t="n">
        <f aca="false">(D10-$D$34)/$D$35</f>
        <v>-0.644962925650481</v>
      </c>
      <c r="L10" s="33" t="n">
        <f aca="false">$D$42/D10-1</f>
        <v>0.0515619214767642</v>
      </c>
    </row>
    <row r="11" customFormat="false" ht="15" hidden="false" customHeight="false" outlineLevel="0" collapsed="false">
      <c r="B11" s="9" t="str">
        <f aca="false">Inputs!B133</f>
        <v>Broker F</v>
      </c>
      <c r="C11" s="17" t="n">
        <f aca="false">Inputs!$C$133</f>
        <v>4.38</v>
      </c>
      <c r="D11" s="17" t="n">
        <f aca="false">Inputs!$D$133</f>
        <v>4.93</v>
      </c>
      <c r="E11" s="15" t="n">
        <f aca="false">Inputs!$E$133</f>
        <v>2325</v>
      </c>
      <c r="F11" s="39" t="n">
        <f aca="false">Inputs!$F$133</f>
        <v>19</v>
      </c>
      <c r="G11" s="46" t="str">
        <f aca="false">IF(F11&gt;Inputs!$D$137,"Stale","Fresh")</f>
        <v>Fresh</v>
      </c>
      <c r="H11" s="17" t="n">
        <f aca="false">IF(F11&lt;=Inputs!$D$137,C11,"")</f>
        <v>4.38</v>
      </c>
      <c r="I11" s="17" t="n">
        <f aca="false">IF(F11&lt;=Inputs!$D$137,D11,"")</f>
        <v>4.93</v>
      </c>
      <c r="J11" s="15" t="n">
        <f aca="false">IF(F11&lt;=Inputs!$D$137,E11,"")</f>
        <v>2325</v>
      </c>
      <c r="K11" s="34" t="n">
        <f aca="false">(D11-$D$34)/$D$35</f>
        <v>0.358312736472487</v>
      </c>
      <c r="L11" s="33" t="n">
        <f aca="false">$D$42/D11-1</f>
        <v>0.0259660937734758</v>
      </c>
    </row>
    <row r="12" customFormat="false" ht="15" hidden="false" customHeight="false" outlineLevel="0" collapsed="false">
      <c r="B12" s="9" t="str">
        <f aca="false">Inputs!B134</f>
        <v>Broker G</v>
      </c>
      <c r="C12" s="17" t="n">
        <f aca="false">Inputs!$C$134</f>
        <v>4.09</v>
      </c>
      <c r="D12" s="17" t="n">
        <f aca="false">Inputs!$D$134</f>
        <v>4.5</v>
      </c>
      <c r="E12" s="15" t="n">
        <f aca="false">Inputs!$E$134</f>
        <v>2270</v>
      </c>
      <c r="F12" s="39" t="n">
        <f aca="false">Inputs!$F$134</f>
        <v>212</v>
      </c>
      <c r="G12" s="46" t="str">
        <f aca="false">IF(F12&gt;Inputs!$D$137,"Stale","Fresh")</f>
        <v>Stale</v>
      </c>
      <c r="H12" s="17" t="str">
        <f aca="false">IF(F12&lt;=Inputs!$D$137,C12,"")</f>
        <v/>
      </c>
      <c r="I12" s="17" t="str">
        <f aca="false">IF(F12&lt;=Inputs!$D$137,D12,"")</f>
        <v/>
      </c>
      <c r="J12" s="15" t="str">
        <f aca="false">IF(F12&lt;=Inputs!$D$137,E12,"")</f>
        <v/>
      </c>
      <c r="K12" s="34" t="n">
        <f aca="false">(D12-$D$34)/$D$35</f>
        <v>-3.23675838613481</v>
      </c>
      <c r="L12" s="33" t="n">
        <f aca="false">$D$42/D12-1</f>
        <v>0.124002853845163</v>
      </c>
    </row>
    <row r="13" customFormat="false" ht="15" hidden="false" customHeight="false" outlineLevel="0" collapsed="false">
      <c r="B13" s="9" t="str">
        <f aca="false">Inputs!B135</f>
        <v>Broker H</v>
      </c>
      <c r="C13" s="17" t="n">
        <f aca="false">Inputs!$C$135</f>
        <v>4.3</v>
      </c>
      <c r="D13" s="17" t="n">
        <f aca="false">Inputs!$D$135</f>
        <v>4.78</v>
      </c>
      <c r="E13" s="15" t="n">
        <f aca="false">Inputs!$E$135</f>
        <v>2309</v>
      </c>
      <c r="F13" s="39" t="n">
        <f aca="false">Inputs!$F$135</f>
        <v>47</v>
      </c>
      <c r="G13" s="46" t="str">
        <f aca="false">IF(F13&gt;Inputs!$D$137,"Stale","Fresh")</f>
        <v>Fresh</v>
      </c>
      <c r="H13" s="17" t="n">
        <f aca="false">IF(F13&lt;=Inputs!$D$137,C13,"")</f>
        <v>4.3</v>
      </c>
      <c r="I13" s="17" t="n">
        <f aca="false">IF(F13&lt;=Inputs!$D$137,D13,"")</f>
        <v>4.78</v>
      </c>
      <c r="J13" s="15" t="n">
        <f aca="false">IF(F13&lt;=Inputs!$D$137,E13,"")</f>
        <v>2309</v>
      </c>
      <c r="K13" s="34" t="n">
        <f aca="false">(D13-$D$34)/$D$35</f>
        <v>-0.895781841181217</v>
      </c>
      <c r="L13" s="33" t="n">
        <f aca="false">$D$42/D13-1</f>
        <v>0.0581616824902165</v>
      </c>
    </row>
    <row r="14" customFormat="false" ht="15" hidden="false" customHeight="false" outlineLevel="0" collapsed="false">
      <c r="B14" s="9" t="str">
        <f aca="false">Inputs!B136</f>
        <v>Broker I</v>
      </c>
      <c r="C14" s="17" t="n">
        <f aca="false">Inputs!$C$136</f>
        <v>4.49</v>
      </c>
      <c r="D14" s="17" t="n">
        <f aca="false">Inputs!$D$136</f>
        <v>5.1</v>
      </c>
      <c r="E14" s="15" t="n">
        <f aca="false">Inputs!$E$136</f>
        <v>2342</v>
      </c>
      <c r="F14" s="39" t="n">
        <f aca="false">Inputs!$F$136</f>
        <v>5</v>
      </c>
      <c r="G14" s="46" t="str">
        <f aca="false">IF(F14&gt;Inputs!$D$137,"Stale","Fresh")</f>
        <v>Fresh</v>
      </c>
      <c r="H14" s="17" t="n">
        <f aca="false">IF(F14&lt;=Inputs!$D$137,C14,"")</f>
        <v>4.49</v>
      </c>
      <c r="I14" s="17" t="n">
        <f aca="false">IF(F14&lt;=Inputs!$D$137,D14,"")</f>
        <v>5.1</v>
      </c>
      <c r="J14" s="15" t="n">
        <f aca="false">IF(F14&lt;=Inputs!$D$137,E14,"")</f>
        <v>2342</v>
      </c>
      <c r="K14" s="34" t="n">
        <f aca="false">(D14-$D$34)/$D$35</f>
        <v>1.77961992448002</v>
      </c>
      <c r="L14" s="33" t="n">
        <f aca="false">$D$42/D14-1</f>
        <v>-0.00823277601897343</v>
      </c>
    </row>
    <row r="16" customFormat="false" ht="15" hidden="false" customHeight="false" outlineLevel="0" collapsed="false">
      <c r="B16" s="18" t="s">
        <v>432</v>
      </c>
      <c r="C16" s="19"/>
      <c r="D16" s="19"/>
      <c r="E16" s="19"/>
      <c r="F16" s="19"/>
    </row>
    <row r="17" customFormat="false" ht="15" hidden="false" customHeight="false" outlineLevel="0" collapsed="false">
      <c r="B17" s="9" t="s">
        <v>433</v>
      </c>
      <c r="C17" s="20" t="s">
        <v>61</v>
      </c>
      <c r="D17" s="47" t="n">
        <f aca="false">AVERAGE(C6:C14)</f>
        <v>4.31111111111111</v>
      </c>
    </row>
    <row r="18" customFormat="false" ht="15" hidden="false" customHeight="false" outlineLevel="0" collapsed="false">
      <c r="B18" s="9" t="s">
        <v>434</v>
      </c>
      <c r="C18" s="20" t="s">
        <v>61</v>
      </c>
      <c r="D18" s="47" t="n">
        <f aca="false">MEDIAN(C6:C14)</f>
        <v>4.32</v>
      </c>
    </row>
    <row r="19" customFormat="false" ht="15" hidden="false" customHeight="false" outlineLevel="0" collapsed="false">
      <c r="B19" s="9" t="s">
        <v>435</v>
      </c>
      <c r="C19" s="20" t="s">
        <v>61</v>
      </c>
      <c r="D19" s="17" t="n">
        <f aca="false">MAX(C6:C14)</f>
        <v>4.49</v>
      </c>
    </row>
    <row r="20" customFormat="false" ht="15" hidden="false" customHeight="false" outlineLevel="0" collapsed="false">
      <c r="B20" s="9" t="s">
        <v>436</v>
      </c>
      <c r="C20" s="20" t="s">
        <v>61</v>
      </c>
      <c r="D20" s="17" t="n">
        <f aca="false">MIN(C6:C14)</f>
        <v>4.09</v>
      </c>
    </row>
    <row r="21" customFormat="false" ht="15" hidden="false" customHeight="false" outlineLevel="0" collapsed="false">
      <c r="B21" s="9" t="s">
        <v>437</v>
      </c>
      <c r="C21" s="20" t="s">
        <v>61</v>
      </c>
      <c r="D21" s="48" t="n">
        <f aca="false">_xlfn.STDEV.P(C6:C14)</f>
        <v>0.118550921496437</v>
      </c>
    </row>
    <row r="22" customFormat="false" ht="15" hidden="false" customHeight="false" outlineLevel="0" collapsed="false">
      <c r="B22" s="9" t="s">
        <v>438</v>
      </c>
      <c r="C22" s="20" t="s">
        <v>61</v>
      </c>
      <c r="D22" s="47" t="n">
        <f aca="false">AVERAGE(D6:D14)</f>
        <v>4.81444444444444</v>
      </c>
    </row>
    <row r="23" customFormat="false" ht="15" hidden="false" customHeight="false" outlineLevel="0" collapsed="false">
      <c r="B23" s="9" t="s">
        <v>439</v>
      </c>
      <c r="C23" s="20" t="s">
        <v>61</v>
      </c>
      <c r="D23" s="47" t="n">
        <f aca="false">MEDIAN(D6:D14)</f>
        <v>4.81</v>
      </c>
    </row>
    <row r="24" customFormat="false" ht="15" hidden="false" customHeight="false" outlineLevel="0" collapsed="false">
      <c r="B24" s="9" t="s">
        <v>440</v>
      </c>
      <c r="C24" s="20" t="s">
        <v>61</v>
      </c>
      <c r="D24" s="17" t="n">
        <f aca="false">MAX(D6:D14)</f>
        <v>5.1</v>
      </c>
    </row>
    <row r="25" customFormat="false" ht="15" hidden="false" customHeight="false" outlineLevel="0" collapsed="false">
      <c r="B25" s="9" t="s">
        <v>441</v>
      </c>
      <c r="C25" s="20" t="s">
        <v>61</v>
      </c>
      <c r="D25" s="17" t="n">
        <f aca="false">MIN(D6:D14)</f>
        <v>4.5</v>
      </c>
    </row>
    <row r="26" customFormat="false" ht="15" hidden="false" customHeight="false" outlineLevel="0" collapsed="false">
      <c r="B26" s="9" t="s">
        <v>442</v>
      </c>
      <c r="C26" s="20" t="s">
        <v>61</v>
      </c>
      <c r="D26" s="48" t="n">
        <f aca="false">_xlfn.STDEV.P(D6:D14)</f>
        <v>0.174426750695026</v>
      </c>
    </row>
    <row r="27" customFormat="false" ht="15" hidden="false" customHeight="false" outlineLevel="0" collapsed="false">
      <c r="B27" s="9" t="s">
        <v>443</v>
      </c>
      <c r="C27" s="20" t="s">
        <v>78</v>
      </c>
      <c r="D27" s="15" t="n">
        <f aca="false">AVERAGE(E6:E14)</f>
        <v>2310.66666666667</v>
      </c>
    </row>
    <row r="29" customFormat="false" ht="15" hidden="false" customHeight="false" outlineLevel="0" collapsed="false">
      <c r="B29" s="18" t="s">
        <v>444</v>
      </c>
      <c r="C29" s="19"/>
      <c r="D29" s="19"/>
      <c r="E29" s="19"/>
      <c r="F29" s="19"/>
    </row>
    <row r="30" customFormat="false" ht="15" hidden="false" customHeight="false" outlineLevel="0" collapsed="false">
      <c r="B30" s="9" t="s">
        <v>445</v>
      </c>
      <c r="D30" s="39" t="n">
        <f aca="false">COUNT(H6:H14)</f>
        <v>7</v>
      </c>
    </row>
    <row r="31" customFormat="false" ht="15" hidden="false" customHeight="false" outlineLevel="0" collapsed="false">
      <c r="B31" s="9" t="s">
        <v>446</v>
      </c>
      <c r="D31" s="39" t="n">
        <f aca="false">COUNTIF(G6:G14,"Stale")</f>
        <v>2</v>
      </c>
    </row>
    <row r="32" customFormat="false" ht="15" hidden="false" customHeight="false" outlineLevel="0" collapsed="false">
      <c r="B32" s="26" t="s">
        <v>433</v>
      </c>
      <c r="C32" s="20" t="s">
        <v>61</v>
      </c>
      <c r="D32" s="49" t="n">
        <f aca="false">AVERAGE(H6:H14)</f>
        <v>4.36285714285714</v>
      </c>
    </row>
    <row r="33" customFormat="false" ht="15" hidden="false" customHeight="false" outlineLevel="0" collapsed="false">
      <c r="B33" s="9" t="s">
        <v>437</v>
      </c>
      <c r="C33" s="20" t="s">
        <v>61</v>
      </c>
      <c r="D33" s="48" t="n">
        <f aca="false">_xlfn.STDEV.P(H6:H14)</f>
        <v>0.0745872998983237</v>
      </c>
    </row>
    <row r="34" customFormat="false" ht="15" hidden="false" customHeight="false" outlineLevel="0" collapsed="false">
      <c r="B34" s="26" t="s">
        <v>438</v>
      </c>
      <c r="C34" s="20" t="s">
        <v>61</v>
      </c>
      <c r="D34" s="49" t="n">
        <f aca="false">AVERAGE(I6:I14)</f>
        <v>4.88714285714286</v>
      </c>
    </row>
    <row r="35" customFormat="false" ht="15" hidden="false" customHeight="false" outlineLevel="0" collapsed="false">
      <c r="B35" s="9" t="s">
        <v>442</v>
      </c>
      <c r="C35" s="20" t="s">
        <v>61</v>
      </c>
      <c r="D35" s="48" t="n">
        <f aca="false">_xlfn.STDEV.P(I6:I14)</f>
        <v>0.119608203936768</v>
      </c>
    </row>
    <row r="36" customFormat="false" ht="15" hidden="false" customHeight="false" outlineLevel="0" collapsed="false">
      <c r="B36" s="9" t="s">
        <v>443</v>
      </c>
      <c r="C36" s="20" t="s">
        <v>78</v>
      </c>
      <c r="D36" s="15" t="n">
        <f aca="false">AVERAGE(J6:J14)</f>
        <v>2319.57142857143</v>
      </c>
    </row>
    <row r="38" customFormat="false" ht="15" hidden="false" customHeight="false" outlineLevel="0" collapsed="false">
      <c r="B38" s="18" t="s">
        <v>447</v>
      </c>
      <c r="C38" s="19"/>
      <c r="D38" s="19"/>
      <c r="E38" s="19"/>
      <c r="F38" s="19"/>
    </row>
    <row r="39" customFormat="false" ht="15" hidden="false" customHeight="false" outlineLevel="0" collapsed="false">
      <c r="B39" s="9" t="s">
        <v>448</v>
      </c>
      <c r="C39" s="20" t="s">
        <v>61</v>
      </c>
      <c r="D39" s="17" t="n">
        <f aca="false">Model!$G$48</f>
        <v>4.398415616</v>
      </c>
    </row>
    <row r="40" customFormat="false" ht="15" hidden="false" customHeight="false" outlineLevel="0" collapsed="false">
      <c r="B40" s="9" t="s">
        <v>449</v>
      </c>
      <c r="D40" s="33" t="n">
        <f aca="false">$D$39/$D$32-1</f>
        <v>0.00815027216764919</v>
      </c>
    </row>
    <row r="41" customFormat="false" ht="15" hidden="false" customHeight="false" outlineLevel="0" collapsed="false">
      <c r="B41" s="9" t="s">
        <v>450</v>
      </c>
      <c r="D41" s="34" t="n">
        <f aca="false">($D$39-$D$32)/$D$33</f>
        <v>0.47673629681368</v>
      </c>
    </row>
    <row r="42" customFormat="false" ht="15" hidden="false" customHeight="false" outlineLevel="0" collapsed="false">
      <c r="B42" s="9" t="s">
        <v>451</v>
      </c>
      <c r="C42" s="20" t="s">
        <v>61</v>
      </c>
      <c r="D42" s="17" t="n">
        <f aca="false">Model!$H$48</f>
        <v>5.05801284230324</v>
      </c>
    </row>
    <row r="43" customFormat="false" ht="15" hidden="false" customHeight="false" outlineLevel="0" collapsed="false">
      <c r="B43" s="9" t="s">
        <v>452</v>
      </c>
      <c r="D43" s="33" t="n">
        <f aca="false">$D$42/$D$34-1</f>
        <v>0.0349631656276717</v>
      </c>
    </row>
    <row r="44" customFormat="false" ht="15" hidden="false" customHeight="false" outlineLevel="0" collapsed="false">
      <c r="B44" s="9" t="s">
        <v>453</v>
      </c>
      <c r="D44" s="34" t="n">
        <f aca="false">($D$42-$D$34)/$D$35</f>
        <v>1.42858081248933</v>
      </c>
    </row>
    <row r="45" customFormat="false" ht="15" hidden="false" customHeight="false" outlineLevel="0" collapsed="false">
      <c r="B45" s="9" t="s">
        <v>454</v>
      </c>
      <c r="D45" s="39" t="n">
        <f aca="false">1+COUNTIF(I6:I14,"&gt;"&amp;$D$42)</f>
        <v>2</v>
      </c>
    </row>
    <row r="46" customFormat="false" ht="15" hidden="false" customHeight="false" outlineLevel="0" collapsed="false">
      <c r="B46" s="9" t="s">
        <v>455</v>
      </c>
      <c r="D46" s="39" t="n">
        <f aca="false">$D$30+1</f>
        <v>8</v>
      </c>
    </row>
    <row r="47" customFormat="false" ht="15" hidden="false" customHeight="false" outlineLevel="0" collapsed="false">
      <c r="B47" s="9" t="s">
        <v>456</v>
      </c>
      <c r="D47" s="33" t="n">
        <f aca="false">Model!$G$18/$D$36-1</f>
        <v>0.00284387510008011</v>
      </c>
    </row>
    <row r="49" customFormat="false" ht="15" hidden="false" customHeight="false" outlineLevel="0" collapsed="false">
      <c r="B49" s="18" t="s">
        <v>457</v>
      </c>
      <c r="C49" s="19"/>
      <c r="D49" s="19"/>
      <c r="E49" s="19"/>
      <c r="F49" s="19"/>
      <c r="G49" s="19"/>
      <c r="H49" s="19"/>
      <c r="I49" s="19"/>
      <c r="J49" s="19"/>
      <c r="K49" s="19"/>
    </row>
    <row r="50" customFormat="false" ht="19.5" hidden="false" customHeight="true" outlineLevel="0" collapsed="false">
      <c r="B50" s="7" t="s">
        <v>458</v>
      </c>
      <c r="C50" s="8" t="s">
        <v>459</v>
      </c>
      <c r="D50" s="8" t="s">
        <v>460</v>
      </c>
      <c r="E50" s="8" t="s">
        <v>461</v>
      </c>
      <c r="F50" s="8" t="s">
        <v>462</v>
      </c>
      <c r="G50" s="8" t="s">
        <v>463</v>
      </c>
      <c r="H50" s="8" t="s">
        <v>464</v>
      </c>
      <c r="I50" s="8" t="s">
        <v>465</v>
      </c>
      <c r="J50" s="8" t="s">
        <v>466</v>
      </c>
      <c r="K50" s="8" t="s">
        <v>467</v>
      </c>
    </row>
    <row r="51" customFormat="false" ht="15" hidden="false" customHeight="false" outlineLevel="0" collapsed="false">
      <c r="B51" s="9" t="s">
        <v>468</v>
      </c>
      <c r="C51" s="15" t="n">
        <f aca="false">Inputs!$D$140</f>
        <v>1195</v>
      </c>
      <c r="D51" s="15" t="n">
        <f aca="false">Model!$H$9</f>
        <v>1206.322992</v>
      </c>
      <c r="E51" s="15" t="n">
        <f aca="false">$C51</f>
        <v>1195</v>
      </c>
      <c r="F51" s="15" t="n">
        <f aca="false">$C51</f>
        <v>1195</v>
      </c>
      <c r="G51" s="15" t="n">
        <f aca="false">$C51</f>
        <v>1195</v>
      </c>
      <c r="H51" s="15" t="n">
        <f aca="false">$D51</f>
        <v>1206.322992</v>
      </c>
      <c r="I51" s="15" t="n">
        <f aca="false">$D51</f>
        <v>1206.322992</v>
      </c>
      <c r="J51" s="15" t="n">
        <f aca="false">$D51</f>
        <v>1206.322992</v>
      </c>
      <c r="K51" s="15" t="n">
        <f aca="false">$D51</f>
        <v>1206.322992</v>
      </c>
    </row>
    <row r="52" customFormat="false" ht="15" hidden="false" customHeight="false" outlineLevel="0" collapsed="false">
      <c r="B52" s="9" t="s">
        <v>469</v>
      </c>
      <c r="C52" s="15" t="n">
        <f aca="false">Inputs!$D$141</f>
        <v>736</v>
      </c>
      <c r="D52" s="15" t="n">
        <f aca="false">Model!$H$13</f>
        <v>759.07236</v>
      </c>
      <c r="E52" s="15" t="n">
        <f aca="false">$C52</f>
        <v>736</v>
      </c>
      <c r="F52" s="15" t="n">
        <f aca="false">$D52</f>
        <v>759.07236</v>
      </c>
      <c r="G52" s="15" t="n">
        <f aca="false">$D52</f>
        <v>759.07236</v>
      </c>
      <c r="H52" s="15" t="n">
        <f aca="false">$D52</f>
        <v>759.07236</v>
      </c>
      <c r="I52" s="15" t="n">
        <f aca="false">$D52</f>
        <v>759.07236</v>
      </c>
      <c r="J52" s="15" t="n">
        <f aca="false">$D52</f>
        <v>759.07236</v>
      </c>
      <c r="K52" s="15" t="n">
        <f aca="false">$D52</f>
        <v>759.07236</v>
      </c>
    </row>
    <row r="53" customFormat="false" ht="15" hidden="false" customHeight="false" outlineLevel="0" collapsed="false">
      <c r="B53" s="9" t="s">
        <v>470</v>
      </c>
      <c r="C53" s="15" t="n">
        <f aca="false">Inputs!$D$142</f>
        <v>510</v>
      </c>
      <c r="D53" s="15" t="n">
        <f aca="false">Model!$H$17</f>
        <v>507.3138928</v>
      </c>
      <c r="E53" s="15" t="n">
        <f aca="false">$C53</f>
        <v>510</v>
      </c>
      <c r="F53" s="15" t="n">
        <f aca="false">$C53</f>
        <v>510</v>
      </c>
      <c r="G53" s="15" t="n">
        <f aca="false">$C53</f>
        <v>510</v>
      </c>
      <c r="H53" s="15" t="n">
        <f aca="false">$C53</f>
        <v>510</v>
      </c>
      <c r="I53" s="15" t="n">
        <f aca="false">$C53</f>
        <v>510</v>
      </c>
      <c r="J53" s="15" t="n">
        <f aca="false">$D53</f>
        <v>507.3138928</v>
      </c>
      <c r="K53" s="15" t="n">
        <f aca="false">$D53</f>
        <v>507.3138928</v>
      </c>
    </row>
    <row r="54" customFormat="false" ht="15" hidden="false" customHeight="false" outlineLevel="0" collapsed="false">
      <c r="B54" s="9" t="s">
        <v>471</v>
      </c>
      <c r="C54" s="14" t="n">
        <f aca="false">Inputs!$D$143</f>
        <v>0.135</v>
      </c>
      <c r="D54" s="14" t="n">
        <f aca="false">Model!$H$21</f>
        <v>0.136</v>
      </c>
      <c r="E54" s="14" t="n">
        <f aca="false">$C54</f>
        <v>0.135</v>
      </c>
      <c r="F54" s="14" t="n">
        <f aca="false">$C54</f>
        <v>0.135</v>
      </c>
      <c r="G54" s="14" t="n">
        <f aca="false">$C54</f>
        <v>0.135</v>
      </c>
      <c r="H54" s="14" t="n">
        <f aca="false">$C54</f>
        <v>0.135</v>
      </c>
      <c r="I54" s="14" t="n">
        <f aca="false">$D54</f>
        <v>0.136</v>
      </c>
      <c r="J54" s="14" t="n">
        <f aca="false">$D54</f>
        <v>0.136</v>
      </c>
      <c r="K54" s="14" t="n">
        <f aca="false">$D54</f>
        <v>0.136</v>
      </c>
    </row>
    <row r="55" customFormat="false" ht="15" hidden="false" customHeight="false" outlineLevel="0" collapsed="false">
      <c r="B55" s="9" t="s">
        <v>472</v>
      </c>
      <c r="C55" s="14" t="n">
        <f aca="false">Inputs!$D$144</f>
        <v>0.218</v>
      </c>
      <c r="D55" s="14" t="n">
        <f aca="false">Model!$H$23</f>
        <v>0.225</v>
      </c>
      <c r="E55" s="14" t="n">
        <f aca="false">$C55</f>
        <v>0.218</v>
      </c>
      <c r="F55" s="14" t="n">
        <f aca="false">$C55</f>
        <v>0.218</v>
      </c>
      <c r="G55" s="14" t="n">
        <f aca="false">$D55</f>
        <v>0.225</v>
      </c>
      <c r="H55" s="14" t="n">
        <f aca="false">$D55</f>
        <v>0.225</v>
      </c>
      <c r="I55" s="14" t="n">
        <f aca="false">$D55</f>
        <v>0.225</v>
      </c>
      <c r="J55" s="14" t="n">
        <f aca="false">$D55</f>
        <v>0.225</v>
      </c>
      <c r="K55" s="14" t="n">
        <f aca="false">$D55</f>
        <v>0.225</v>
      </c>
    </row>
    <row r="56" customFormat="false" ht="15" hidden="false" customHeight="false" outlineLevel="0" collapsed="false">
      <c r="B56" s="9" t="s">
        <v>473</v>
      </c>
      <c r="C56" s="14" t="n">
        <f aca="false">Inputs!$D$145</f>
        <v>0.245</v>
      </c>
      <c r="D56" s="14" t="n">
        <f aca="false">Model!$H$25</f>
        <v>0.246</v>
      </c>
      <c r="E56" s="14" t="n">
        <f aca="false">$C56</f>
        <v>0.245</v>
      </c>
      <c r="F56" s="14" t="n">
        <f aca="false">$C56</f>
        <v>0.245</v>
      </c>
      <c r="G56" s="14" t="n">
        <f aca="false">$C56</f>
        <v>0.245</v>
      </c>
      <c r="H56" s="14" t="n">
        <f aca="false">$C56</f>
        <v>0.245</v>
      </c>
      <c r="I56" s="14" t="n">
        <f aca="false">$C56</f>
        <v>0.245</v>
      </c>
      <c r="J56" s="14" t="n">
        <f aca="false">$D56</f>
        <v>0.246</v>
      </c>
      <c r="K56" s="14" t="n">
        <f aca="false">$D56</f>
        <v>0.246</v>
      </c>
    </row>
    <row r="57" customFormat="false" ht="15" hidden="false" customHeight="false" outlineLevel="0" collapsed="false">
      <c r="B57" s="9" t="s">
        <v>474</v>
      </c>
      <c r="C57" s="15" t="n">
        <f aca="false">Inputs!$D$146</f>
        <v>52</v>
      </c>
      <c r="D57" s="15" t="n">
        <f aca="false">Model!$H$28</f>
        <v>52</v>
      </c>
      <c r="E57" s="15" t="n">
        <f aca="false">$C57</f>
        <v>52</v>
      </c>
      <c r="F57" s="15" t="n">
        <f aca="false">$C57</f>
        <v>52</v>
      </c>
      <c r="G57" s="15" t="n">
        <f aca="false">$C57</f>
        <v>52</v>
      </c>
      <c r="H57" s="15" t="n">
        <f aca="false">$C57</f>
        <v>52</v>
      </c>
      <c r="I57" s="15" t="n">
        <f aca="false">$C57</f>
        <v>52</v>
      </c>
      <c r="J57" s="15" t="n">
        <f aca="false">$C57</f>
        <v>52</v>
      </c>
      <c r="K57" s="15" t="n">
        <f aca="false">$D57</f>
        <v>52</v>
      </c>
    </row>
    <row r="58" customFormat="false" ht="15" hidden="false" customHeight="false" outlineLevel="0" collapsed="false">
      <c r="B58" s="9" t="s">
        <v>475</v>
      </c>
      <c r="C58" s="15" t="n">
        <f aca="false">Inputs!$D$147</f>
        <v>36</v>
      </c>
      <c r="D58" s="15" t="n">
        <f aca="false">Model!$H$33</f>
        <v>36</v>
      </c>
      <c r="E58" s="15" t="n">
        <f aca="false">$C58</f>
        <v>36</v>
      </c>
      <c r="F58" s="15" t="n">
        <f aca="false">$C58</f>
        <v>36</v>
      </c>
      <c r="G58" s="15" t="n">
        <f aca="false">$C58</f>
        <v>36</v>
      </c>
      <c r="H58" s="15" t="n">
        <f aca="false">$C58</f>
        <v>36</v>
      </c>
      <c r="I58" s="15" t="n">
        <f aca="false">$C58</f>
        <v>36</v>
      </c>
      <c r="J58" s="15" t="n">
        <f aca="false">$C58</f>
        <v>36</v>
      </c>
      <c r="K58" s="15" t="n">
        <f aca="false">$C58</f>
        <v>36</v>
      </c>
    </row>
    <row r="59" customFormat="false" ht="15" hidden="false" customHeight="false" outlineLevel="0" collapsed="false">
      <c r="B59" s="9" t="s">
        <v>476</v>
      </c>
      <c r="C59" s="15" t="n">
        <f aca="false">Inputs!$D$148</f>
        <v>50</v>
      </c>
      <c r="D59" s="15" t="n">
        <f aca="false">Model!$H$37</f>
        <v>50.305102656</v>
      </c>
      <c r="E59" s="15" t="n">
        <f aca="false">$C59</f>
        <v>50</v>
      </c>
      <c r="F59" s="15" t="n">
        <f aca="false">$C59</f>
        <v>50</v>
      </c>
      <c r="G59" s="15" t="n">
        <f aca="false">$C59</f>
        <v>50</v>
      </c>
      <c r="H59" s="15" t="n">
        <f aca="false">$C59</f>
        <v>50</v>
      </c>
      <c r="I59" s="15" t="n">
        <f aca="false">$C59</f>
        <v>50</v>
      </c>
      <c r="J59" s="15" t="n">
        <f aca="false">$C59</f>
        <v>50</v>
      </c>
      <c r="K59" s="15" t="n">
        <f aca="false">$D59</f>
        <v>50.305102656</v>
      </c>
    </row>
    <row r="60" customFormat="false" ht="15" hidden="false" customHeight="false" outlineLevel="0" collapsed="false">
      <c r="B60" s="9" t="s">
        <v>477</v>
      </c>
      <c r="C60" s="16" t="n">
        <f aca="false">Inputs!$D$149</f>
        <v>54.5</v>
      </c>
      <c r="D60" s="16" t="n">
        <f aca="false">Model!$H$41</f>
        <v>54.4</v>
      </c>
      <c r="E60" s="16" t="n">
        <f aca="false">$C60</f>
        <v>54.5</v>
      </c>
      <c r="F60" s="16" t="n">
        <f aca="false">$C60</f>
        <v>54.5</v>
      </c>
      <c r="G60" s="16" t="n">
        <f aca="false">$C60</f>
        <v>54.5</v>
      </c>
      <c r="H60" s="16" t="n">
        <f aca="false">$C60</f>
        <v>54.5</v>
      </c>
      <c r="I60" s="16" t="n">
        <f aca="false">$C60</f>
        <v>54.5</v>
      </c>
      <c r="J60" s="16" t="n">
        <f aca="false">$C60</f>
        <v>54.5</v>
      </c>
      <c r="K60" s="16" t="n">
        <f aca="false">$D60</f>
        <v>54.4</v>
      </c>
    </row>
    <row r="61" customFormat="false" ht="15" hidden="false" customHeight="false" outlineLevel="0" collapsed="false">
      <c r="B61" s="26" t="s">
        <v>478</v>
      </c>
      <c r="E61" s="49" t="n">
        <f aca="false">((E51*E54+E52*E55+E53*E56)-E57-E59)*(1-Inputs!$D$79)/E60</f>
        <v>4.87039834862385</v>
      </c>
      <c r="F61" s="49" t="n">
        <f aca="false">((F51*F54+F52*F55+F53*F56)-F57-F59)*(1-Inputs!$D$79)/F60</f>
        <v>4.94146121742385</v>
      </c>
      <c r="G61" s="49" t="n">
        <f aca="false">((G51*G54+G52*G55+G53*G56)-G57-G59)*(1-Inputs!$D$79)/G60</f>
        <v>5.01653277743119</v>
      </c>
      <c r="H61" s="49" t="n">
        <f aca="false">((H51*H54+H52*H55+H53*H56)-H57-H59)*(1-Inputs!$D$79)/H60</f>
        <v>5.03812956675963</v>
      </c>
      <c r="I61" s="49" t="n">
        <f aca="false">((I51*I54+I52*I55+I53*I56)-I57-I59)*(1-Inputs!$D$79)/I60</f>
        <v>5.05517302921541</v>
      </c>
      <c r="J61" s="49" t="n">
        <f aca="false">((J51*J54+J52*J55+J53*J56)-J57-J59)*(1-Inputs!$D$79)/J60</f>
        <v>5.05304270947552</v>
      </c>
      <c r="K61" s="49" t="n">
        <f aca="false">((K51*K54+K52*K55+K53*K56)-K57-K59)*(1-Inputs!$D$79)/K60</f>
        <v>5.05801284230324</v>
      </c>
    </row>
    <row r="63" customFormat="false" ht="15" hidden="false" customHeight="false" outlineLevel="0" collapsed="false">
      <c r="B63" s="7" t="s">
        <v>479</v>
      </c>
      <c r="C63" s="8" t="s">
        <v>480</v>
      </c>
    </row>
    <row r="64" customFormat="false" ht="15" hidden="false" customHeight="false" outlineLevel="0" collapsed="false">
      <c r="B64" s="26" t="s">
        <v>481</v>
      </c>
      <c r="C64" s="49" t="n">
        <f aca="false">E61</f>
        <v>4.87039834862385</v>
      </c>
    </row>
    <row r="65" customFormat="false" ht="15" hidden="false" customHeight="false" outlineLevel="0" collapsed="false">
      <c r="B65" s="9" t="s">
        <v>482</v>
      </c>
      <c r="C65" s="50" t="n">
        <f aca="false">F61-E61</f>
        <v>0.0710628688000004</v>
      </c>
    </row>
    <row r="66" customFormat="false" ht="15" hidden="false" customHeight="false" outlineLevel="0" collapsed="false">
      <c r="B66" s="9" t="s">
        <v>483</v>
      </c>
      <c r="C66" s="50" t="n">
        <f aca="false">G61-F61</f>
        <v>0.0750715600073386</v>
      </c>
    </row>
    <row r="67" customFormat="false" ht="15" hidden="false" customHeight="false" outlineLevel="0" collapsed="false">
      <c r="B67" s="9" t="s">
        <v>484</v>
      </c>
      <c r="C67" s="50" t="n">
        <f aca="false">H61-G61</f>
        <v>0.0215967893284406</v>
      </c>
    </row>
    <row r="68" customFormat="false" ht="15" hidden="false" customHeight="false" outlineLevel="0" collapsed="false">
      <c r="B68" s="9" t="s">
        <v>485</v>
      </c>
      <c r="C68" s="50" t="n">
        <f aca="false">I61-H61</f>
        <v>0.0170434624557805</v>
      </c>
    </row>
    <row r="69" customFormat="false" ht="15" hidden="false" customHeight="false" outlineLevel="0" collapsed="false">
      <c r="B69" s="9" t="s">
        <v>486</v>
      </c>
      <c r="C69" s="50" t="n">
        <f aca="false">J61-I61</f>
        <v>-0.00213031973988898</v>
      </c>
    </row>
    <row r="70" customFormat="false" ht="15" hidden="false" customHeight="false" outlineLevel="0" collapsed="false">
      <c r="B70" s="9" t="s">
        <v>487</v>
      </c>
      <c r="C70" s="50" t="n">
        <f aca="false">K61-J61</f>
        <v>0.00497013282771075</v>
      </c>
    </row>
    <row r="71" customFormat="false" ht="15" hidden="false" customHeight="false" outlineLevel="0" collapsed="false">
      <c r="B71" s="26" t="s">
        <v>488</v>
      </c>
      <c r="C71" s="49" t="n">
        <f aca="false">K61</f>
        <v>5.05801284230324</v>
      </c>
    </row>
    <row r="72" customFormat="false" ht="15" hidden="false" customHeight="false" outlineLevel="0" collapsed="false">
      <c r="B72" s="9" t="s">
        <v>489</v>
      </c>
      <c r="C72" s="47" t="n">
        <f aca="false">C71-C64</f>
        <v>0.187614493679382</v>
      </c>
    </row>
    <row r="73" customFormat="false" ht="15" hidden="false" customHeight="false" outlineLevel="0" collapsed="false">
      <c r="B73" s="9" t="s">
        <v>490</v>
      </c>
      <c r="C73" s="47" t="n">
        <f aca="false">C65+C66</f>
        <v>0.146134428807339</v>
      </c>
    </row>
    <row r="74" customFormat="false" ht="15" hidden="false" customHeight="false" outlineLevel="0" collapsed="false">
      <c r="B74" s="9" t="s">
        <v>491</v>
      </c>
      <c r="C74" s="31" t="n">
        <f aca="false">SUM(C65:C70)-$C$72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G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58593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0"/>
    <col collapsed="false" customWidth="true" hidden="false" outlineLevel="0" max="3" min="3" style="0" width="6"/>
    <col collapsed="false" customWidth="true" hidden="false" outlineLevel="0" max="7" min="4" style="0" width="12"/>
  </cols>
  <sheetData>
    <row r="1" customFormat="false" ht="6" hidden="false" customHeight="true" outlineLevel="0" collapsed="false"/>
    <row r="2" customFormat="false" ht="17.35" hidden="false" customHeight="false" outlineLevel="0" collapsed="false">
      <c r="B2" s="5" t="s">
        <v>492</v>
      </c>
    </row>
    <row r="3" customFormat="false" ht="15" hidden="false" customHeight="false" outlineLevel="0" collapsed="false">
      <c r="B3" s="6" t="s">
        <v>493</v>
      </c>
    </row>
    <row r="4" customFormat="false" ht="15" hidden="false" customHeight="false" outlineLevel="0" collapsed="false">
      <c r="B4" s="18" t="s">
        <v>494</v>
      </c>
      <c r="C4" s="19"/>
      <c r="D4" s="19"/>
    </row>
    <row r="5" customFormat="false" ht="15" hidden="false" customHeight="false" outlineLevel="0" collapsed="false">
      <c r="B5" s="9" t="s">
        <v>495</v>
      </c>
      <c r="C5" s="20" t="s">
        <v>61</v>
      </c>
      <c r="D5" s="51" t="n">
        <f aca="false">Valuation!$D$32</f>
        <v>101</v>
      </c>
    </row>
    <row r="6" customFormat="false" ht="15" hidden="false" customHeight="false" outlineLevel="0" collapsed="false">
      <c r="B6" s="9" t="s">
        <v>298</v>
      </c>
      <c r="C6" s="20" t="s">
        <v>61</v>
      </c>
      <c r="D6" s="17" t="n">
        <f aca="false">Inputs!$D$86</f>
        <v>86.2</v>
      </c>
    </row>
    <row r="7" customFormat="false" ht="15" hidden="false" customHeight="false" outlineLevel="0" collapsed="false">
      <c r="B7" s="9" t="s">
        <v>496</v>
      </c>
      <c r="D7" s="14" t="n">
        <f aca="false">$D$5/$D$6-1</f>
        <v>0.17169373549884</v>
      </c>
    </row>
    <row r="8" customFormat="false" ht="15" hidden="false" customHeight="false" outlineLevel="0" collapsed="false">
      <c r="B8" s="9" t="s">
        <v>305</v>
      </c>
      <c r="D8" s="14" t="n">
        <f aca="false">Model!$G$57/$D$6</f>
        <v>0.0127610208816705</v>
      </c>
    </row>
    <row r="9" customFormat="false" ht="15" hidden="false" customHeight="false" outlineLevel="0" collapsed="false">
      <c r="B9" s="26" t="s">
        <v>497</v>
      </c>
      <c r="D9" s="36" t="n">
        <f aca="false">$D$7+$D$8</f>
        <v>0.18445475638051</v>
      </c>
    </row>
    <row r="10" customFormat="false" ht="15" hidden="false" customHeight="false" outlineLevel="0" collapsed="false">
      <c r="B10" s="26" t="s">
        <v>498</v>
      </c>
      <c r="D10" s="26" t="str">
        <f aca="false">IF($D$9&gt;=Inputs!$D$93,"Buy",IF($D$9&lt;=Inputs!$D$94,"Sell","Hold"))</f>
        <v>Buy</v>
      </c>
    </row>
    <row r="11" customFormat="false" ht="15" hidden="false" customHeight="false" outlineLevel="0" collapsed="false">
      <c r="B11" s="9" t="s">
        <v>499</v>
      </c>
      <c r="C11" s="20" t="s">
        <v>61</v>
      </c>
      <c r="D11" s="17" t="n">
        <f aca="false">($D$5+Model!$G$57)/(1+Inputs!$D$93)</f>
        <v>88.7826086956522</v>
      </c>
    </row>
    <row r="12" customFormat="false" ht="15" hidden="false" customHeight="false" outlineLevel="0" collapsed="false">
      <c r="B12" s="9" t="s">
        <v>500</v>
      </c>
      <c r="D12" s="14" t="n">
        <f aca="false">$D$11/$D$6-1</f>
        <v>0.0299606577221829</v>
      </c>
    </row>
    <row r="13" customFormat="false" ht="15" hidden="false" customHeight="false" outlineLevel="0" collapsed="false">
      <c r="B13" s="9" t="s">
        <v>501</v>
      </c>
      <c r="D13" s="14" t="n">
        <f aca="false">($D$5+Model!$G$57)/$D$11-1</f>
        <v>0.15</v>
      </c>
    </row>
    <row r="15" customFormat="false" ht="15" hidden="false" customHeight="false" outlineLevel="0" collapsed="false">
      <c r="B15" s="18" t="s">
        <v>502</v>
      </c>
      <c r="C15" s="19"/>
      <c r="D15" s="19"/>
      <c r="E15" s="19"/>
      <c r="F15" s="19"/>
    </row>
    <row r="16" customFormat="false" ht="26.85" hidden="false" customHeight="false" outlineLevel="0" collapsed="false">
      <c r="B16" s="7" t="s">
        <v>171</v>
      </c>
      <c r="C16" s="8"/>
      <c r="D16" s="8" t="s">
        <v>503</v>
      </c>
      <c r="E16" s="8" t="s">
        <v>504</v>
      </c>
      <c r="F16" s="8" t="s">
        <v>505</v>
      </c>
      <c r="G16" s="8" t="s">
        <v>506</v>
      </c>
    </row>
    <row r="17" customFormat="false" ht="15" hidden="false" customHeight="false" outlineLevel="0" collapsed="false">
      <c r="B17" s="9" t="s">
        <v>177</v>
      </c>
      <c r="D17" s="39" t="n">
        <f aca="false">Inputs!$D$210</f>
        <v>7</v>
      </c>
      <c r="E17" s="14" t="n">
        <f aca="false">D17/SUM($D$17:$D$19)</f>
        <v>0.5</v>
      </c>
      <c r="F17" s="39" t="n">
        <f aca="false">Inputs!$D$211</f>
        <v>2</v>
      </c>
      <c r="G17" s="14" t="n">
        <f aca="false">IF(D17=0,0,F17/D17)</f>
        <v>0.285714285714286</v>
      </c>
    </row>
    <row r="18" customFormat="false" ht="15" hidden="false" customHeight="false" outlineLevel="0" collapsed="false">
      <c r="B18" s="9" t="s">
        <v>180</v>
      </c>
      <c r="D18" s="39" t="n">
        <f aca="false">Inputs!$D$212</f>
        <v>6</v>
      </c>
      <c r="E18" s="14" t="n">
        <f aca="false">D18/SUM($D$17:$D$19)</f>
        <v>0.428571428571429</v>
      </c>
      <c r="F18" s="39" t="n">
        <f aca="false">Inputs!$D$213</f>
        <v>1</v>
      </c>
      <c r="G18" s="14" t="n">
        <f aca="false">IF(D18=0,0,F18/D18)</f>
        <v>0.166666666666667</v>
      </c>
    </row>
    <row r="19" customFormat="false" ht="15" hidden="false" customHeight="false" outlineLevel="0" collapsed="false">
      <c r="B19" s="9" t="s">
        <v>183</v>
      </c>
      <c r="D19" s="39" t="n">
        <f aca="false">Inputs!$D$214</f>
        <v>1</v>
      </c>
      <c r="E19" s="14" t="n">
        <f aca="false">D19/SUM($D$17:$D$19)</f>
        <v>0.0714285714285714</v>
      </c>
      <c r="F19" s="39" t="n">
        <f aca="false">Inputs!$D$215</f>
        <v>0</v>
      </c>
      <c r="G19" s="14" t="n">
        <f aca="false">IF(D19=0,0,F19/D19)</f>
        <v>0</v>
      </c>
    </row>
    <row r="20" customFormat="false" ht="15" hidden="false" customHeight="false" outlineLevel="0" collapsed="false">
      <c r="B20" s="26" t="s">
        <v>507</v>
      </c>
      <c r="D20" s="52" t="n">
        <f aca="false">SUM(D17:D19)</f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G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558593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0"/>
    <col collapsed="false" customWidth="true" hidden="false" outlineLevel="0" max="3" min="3" style="0" width="6"/>
    <col collapsed="false" customWidth="true" hidden="false" outlineLevel="0" max="7" min="4" style="0" width="13"/>
  </cols>
  <sheetData>
    <row r="1" customFormat="false" ht="6" hidden="false" customHeight="true" outlineLevel="0" collapsed="false"/>
    <row r="2" customFormat="false" ht="17.35" hidden="false" customHeight="false" outlineLevel="0" collapsed="false">
      <c r="B2" s="5" t="s">
        <v>508</v>
      </c>
    </row>
    <row r="3" customFormat="false" ht="15" hidden="false" customHeight="false" outlineLevel="0" collapsed="false">
      <c r="B3" s="6" t="s">
        <v>509</v>
      </c>
    </row>
    <row r="4" customFormat="false" ht="15" hidden="false" customHeight="false" outlineLevel="0" collapsed="false">
      <c r="B4" s="7" t="s">
        <v>510</v>
      </c>
      <c r="C4" s="8"/>
      <c r="D4" s="8" t="s">
        <v>511</v>
      </c>
      <c r="E4" s="8" t="s">
        <v>512</v>
      </c>
      <c r="F4" s="8" t="s">
        <v>513</v>
      </c>
      <c r="G4" s="8" t="s">
        <v>514</v>
      </c>
    </row>
    <row r="5" customFormat="false" ht="15" hidden="false" customHeight="false" outlineLevel="0" collapsed="false">
      <c r="B5" s="9" t="s">
        <v>515</v>
      </c>
      <c r="D5" s="15" t="n">
        <f aca="false">Model!$G$9*Inputs!$D$152</f>
        <v>272.4778</v>
      </c>
      <c r="E5" s="15" t="n">
        <f aca="false">Inputs!$D$165</f>
        <v>266</v>
      </c>
      <c r="F5" s="53" t="n">
        <f aca="false">E5-D5</f>
        <v>-6.4778</v>
      </c>
      <c r="G5" s="33" t="n">
        <f aca="false">E5/D5-1</f>
        <v>-0.0237736799108037</v>
      </c>
    </row>
    <row r="6" customFormat="false" ht="15" hidden="false" customHeight="false" outlineLevel="0" collapsed="false">
      <c r="B6" s="9" t="s">
        <v>516</v>
      </c>
      <c r="D6" s="15" t="n">
        <f aca="false">Model!$G$13*Inputs!$D$153</f>
        <v>159.9328</v>
      </c>
      <c r="E6" s="15" t="n">
        <f aca="false">Inputs!$D$166</f>
        <v>165</v>
      </c>
      <c r="F6" s="53" t="n">
        <f aca="false">E6-D6</f>
        <v>5.06719999999999</v>
      </c>
      <c r="G6" s="33" t="n">
        <f aca="false">E6/D6-1</f>
        <v>0.0316833069889353</v>
      </c>
    </row>
    <row r="7" customFormat="false" ht="15" hidden="false" customHeight="false" outlineLevel="0" collapsed="false">
      <c r="B7" s="9" t="s">
        <v>517</v>
      </c>
      <c r="D7" s="15" t="n">
        <f aca="false">Model!$G$17*Inputs!$D$154</f>
        <v>113.11872</v>
      </c>
      <c r="E7" s="15" t="n">
        <f aca="false">Inputs!$D$167</f>
        <v>112.4</v>
      </c>
      <c r="F7" s="53" t="n">
        <f aca="false">E7-D7</f>
        <v>-0.718720000000005</v>
      </c>
      <c r="G7" s="33" t="n">
        <f aca="false">E7/D7-1</f>
        <v>-0.00635367868377579</v>
      </c>
    </row>
    <row r="8" customFormat="false" ht="15" hidden="false" customHeight="false" outlineLevel="0" collapsed="false">
      <c r="B8" s="26" t="s">
        <v>213</v>
      </c>
      <c r="D8" s="27" t="n">
        <f aca="false">D5+D6+D7</f>
        <v>545.52932</v>
      </c>
      <c r="E8" s="27" t="n">
        <f aca="false">E5+E6+E7</f>
        <v>543.4</v>
      </c>
      <c r="F8" s="53" t="n">
        <f aca="false">E8-D8</f>
        <v>-2.12932000000012</v>
      </c>
      <c r="G8" s="33" t="n">
        <f aca="false">E8/D8-1</f>
        <v>-0.00390321825415385</v>
      </c>
    </row>
    <row r="9" customFormat="false" ht="15" hidden="false" customHeight="false" outlineLevel="0" collapsed="false">
      <c r="B9" s="9" t="s">
        <v>518</v>
      </c>
      <c r="D9" s="14" t="n">
        <f aca="false">Model!$G$21+Inputs!$D$155</f>
        <v>0.12</v>
      </c>
      <c r="E9" s="14" t="n">
        <f aca="false">Inputs!$D$168</f>
        <v>0.114</v>
      </c>
      <c r="F9" s="54" t="n">
        <f aca="false">(E9-D9)*100</f>
        <v>-0.600000000000001</v>
      </c>
      <c r="G9" s="9"/>
    </row>
    <row r="10" customFormat="false" ht="15" hidden="false" customHeight="false" outlineLevel="0" collapsed="false">
      <c r="B10" s="9" t="s">
        <v>519</v>
      </c>
      <c r="D10" s="14" t="n">
        <f aca="false">Model!$G$23+Inputs!$D$156</f>
        <v>0.208</v>
      </c>
      <c r="E10" s="14" t="n">
        <f aca="false">Inputs!$D$169</f>
        <v>0.221</v>
      </c>
      <c r="F10" s="54" t="n">
        <f aca="false">(E10-D10)*100</f>
        <v>1.3</v>
      </c>
      <c r="G10" s="9"/>
    </row>
    <row r="11" customFormat="false" ht="15" hidden="false" customHeight="false" outlineLevel="0" collapsed="false">
      <c r="B11" s="9" t="s">
        <v>520</v>
      </c>
      <c r="D11" s="14" t="n">
        <f aca="false">Model!$G$25+Inputs!$D$157</f>
        <v>0.239</v>
      </c>
      <c r="E11" s="14" t="n">
        <f aca="false">Inputs!$D$170</f>
        <v>0.241</v>
      </c>
      <c r="F11" s="54" t="n">
        <f aca="false">(E11-D11)*100</f>
        <v>0.2</v>
      </c>
      <c r="G11" s="9"/>
    </row>
    <row r="12" customFormat="false" ht="15" hidden="false" customHeight="false" outlineLevel="0" collapsed="false">
      <c r="B12" s="9" t="s">
        <v>521</v>
      </c>
      <c r="D12" s="15" t="n">
        <f aca="false">D5*D9</f>
        <v>32.697336</v>
      </c>
      <c r="E12" s="15" t="n">
        <f aca="false">E5*E9</f>
        <v>30.324</v>
      </c>
      <c r="F12" s="53" t="n">
        <f aca="false">E12-D12</f>
        <v>-2.373336</v>
      </c>
      <c r="G12" s="33" t="n">
        <f aca="false">E12/D12-1</f>
        <v>-0.0725849959152635</v>
      </c>
    </row>
    <row r="13" customFormat="false" ht="15" hidden="false" customHeight="false" outlineLevel="0" collapsed="false">
      <c r="B13" s="9" t="s">
        <v>522</v>
      </c>
      <c r="D13" s="15" t="n">
        <f aca="false">D6*D10</f>
        <v>33.2660224</v>
      </c>
      <c r="E13" s="15" t="n">
        <f aca="false">E6*E10</f>
        <v>36.465</v>
      </c>
      <c r="F13" s="53" t="n">
        <f aca="false">E13-D13</f>
        <v>3.1989776</v>
      </c>
      <c r="G13" s="33" t="n">
        <f aca="false">E13/D13-1</f>
        <v>0.0961635136757437</v>
      </c>
    </row>
    <row r="14" customFormat="false" ht="15" hidden="false" customHeight="false" outlineLevel="0" collapsed="false">
      <c r="B14" s="9" t="s">
        <v>523</v>
      </c>
      <c r="D14" s="15" t="n">
        <f aca="false">D7*D11</f>
        <v>27.03537408</v>
      </c>
      <c r="E14" s="15" t="n">
        <f aca="false">E7*E11</f>
        <v>27.0884</v>
      </c>
      <c r="F14" s="53" t="n">
        <f aca="false">E14-D14</f>
        <v>0.0530259199999996</v>
      </c>
      <c r="G14" s="33" t="n">
        <f aca="false">E14/D14-1</f>
        <v>0.0019613532937659</v>
      </c>
    </row>
    <row r="15" customFormat="false" ht="15" hidden="false" customHeight="false" outlineLevel="0" collapsed="false">
      <c r="B15" s="9" t="s">
        <v>219</v>
      </c>
      <c r="D15" s="15" t="n">
        <f aca="false">D12+D13+D14</f>
        <v>92.99873248</v>
      </c>
      <c r="E15" s="15" t="n">
        <f aca="false">E12+E13+E14</f>
        <v>93.8774</v>
      </c>
      <c r="F15" s="53" t="n">
        <f aca="false">E15-D15</f>
        <v>0.878667519999993</v>
      </c>
      <c r="G15" s="33" t="n">
        <f aca="false">E15/D15-1</f>
        <v>0.0094481666208619</v>
      </c>
    </row>
    <row r="16" customFormat="false" ht="15" hidden="false" customHeight="false" outlineLevel="0" collapsed="false">
      <c r="B16" s="9" t="s">
        <v>41</v>
      </c>
      <c r="D16" s="15" t="n">
        <f aca="false">Model!$G$28*Inputs!$D$158</f>
        <v>12.5</v>
      </c>
      <c r="E16" s="15" t="n">
        <f aca="false">Inputs!$D$171</f>
        <v>12.6</v>
      </c>
      <c r="F16" s="53" t="n">
        <f aca="false">E16-D16</f>
        <v>0.0999999999999996</v>
      </c>
      <c r="G16" s="33" t="n">
        <f aca="false">E16/D16-1</f>
        <v>0.00800000000000001</v>
      </c>
    </row>
    <row r="17" customFormat="false" ht="15" hidden="false" customHeight="false" outlineLevel="0" collapsed="false">
      <c r="B17" s="26" t="s">
        <v>346</v>
      </c>
      <c r="D17" s="27" t="n">
        <f aca="false">D15-D16</f>
        <v>80.49873248</v>
      </c>
      <c r="E17" s="27" t="n">
        <f aca="false">E15-E16</f>
        <v>81.2774</v>
      </c>
      <c r="F17" s="53" t="n">
        <f aca="false">E17-D17</f>
        <v>0.778667519999999</v>
      </c>
      <c r="G17" s="33" t="n">
        <f aca="false">E17/D17-1</f>
        <v>0.00967304075493924</v>
      </c>
    </row>
    <row r="18" customFormat="false" ht="15" hidden="false" customHeight="false" outlineLevel="0" collapsed="false">
      <c r="B18" s="9" t="s">
        <v>221</v>
      </c>
      <c r="D18" s="14" t="n">
        <f aca="false">D17/D8</f>
        <v>0.147560780931078</v>
      </c>
      <c r="E18" s="14" t="n">
        <f aca="false">E17/E8</f>
        <v>0.149571954361428</v>
      </c>
      <c r="F18" s="54" t="n">
        <f aca="false">(E18-D18)*100</f>
        <v>0.201117343034998</v>
      </c>
      <c r="G18" s="9"/>
    </row>
    <row r="19" customFormat="false" ht="15" hidden="false" customHeight="false" outlineLevel="0" collapsed="false">
      <c r="B19" s="9" t="s">
        <v>347</v>
      </c>
      <c r="D19" s="15" t="n">
        <f aca="false">Model!$G$33*Inputs!$D$159</f>
        <v>9.5</v>
      </c>
      <c r="E19" s="15" t="n">
        <f aca="false">Inputs!$D$172</f>
        <v>9.5</v>
      </c>
      <c r="F19" s="53" t="n">
        <f aca="false">E19-D19</f>
        <v>0</v>
      </c>
      <c r="G19" s="33" t="n">
        <f aca="false">E19/D19-1</f>
        <v>0</v>
      </c>
    </row>
    <row r="20" customFormat="false" ht="15" hidden="false" customHeight="false" outlineLevel="0" collapsed="false">
      <c r="B20" s="9" t="s">
        <v>524</v>
      </c>
      <c r="D20" s="15" t="n">
        <f aca="false">Inputs!$D$161</f>
        <v>4</v>
      </c>
      <c r="E20" s="15" t="n">
        <f aca="false">Inputs!$D$173</f>
        <v>5.1</v>
      </c>
      <c r="F20" s="53" t="n">
        <f aca="false">E20-D20</f>
        <v>1.1</v>
      </c>
      <c r="G20" s="33" t="n">
        <f aca="false">E20/D20-1</f>
        <v>0.275</v>
      </c>
    </row>
    <row r="21" customFormat="false" ht="15" hidden="false" customHeight="false" outlineLevel="0" collapsed="false">
      <c r="B21" s="9" t="s">
        <v>348</v>
      </c>
      <c r="D21" s="15" t="n">
        <f aca="false">D17-D19-D20</f>
        <v>66.99873248</v>
      </c>
      <c r="E21" s="15" t="n">
        <f aca="false">E17-E19-E20</f>
        <v>66.6774</v>
      </c>
      <c r="F21" s="53" t="n">
        <f aca="false">E21-D21</f>
        <v>-0.321332479999995</v>
      </c>
      <c r="G21" s="33" t="n">
        <f aca="false">E21/D21-1</f>
        <v>-0.00479609789776125</v>
      </c>
    </row>
    <row r="22" customFormat="false" ht="15" hidden="false" customHeight="false" outlineLevel="0" collapsed="false">
      <c r="B22" s="9" t="s">
        <v>525</v>
      </c>
      <c r="D22" s="15" t="n">
        <f aca="false">Model!$G$37*Inputs!$D$160</f>
        <v>13.75</v>
      </c>
      <c r="E22" s="15" t="n">
        <f aca="false">Inputs!$D$174</f>
        <v>13.6</v>
      </c>
      <c r="F22" s="53" t="n">
        <f aca="false">E22-D22</f>
        <v>-0.15</v>
      </c>
      <c r="G22" s="33" t="n">
        <f aca="false">E22/D22-1</f>
        <v>-0.010909090909091</v>
      </c>
    </row>
    <row r="23" customFormat="false" ht="15" hidden="false" customHeight="false" outlineLevel="0" collapsed="false">
      <c r="B23" s="9" t="s">
        <v>227</v>
      </c>
      <c r="D23" s="15" t="n">
        <f aca="false">D21-D22</f>
        <v>53.24873248</v>
      </c>
      <c r="E23" s="15" t="n">
        <f aca="false">E21-E22</f>
        <v>53.0774</v>
      </c>
      <c r="F23" s="53" t="n">
        <f aca="false">E23-D23</f>
        <v>-0.171332479999997</v>
      </c>
      <c r="G23" s="33" t="n">
        <f aca="false">E23/D23-1</f>
        <v>-0.00321758795036764</v>
      </c>
    </row>
    <row r="24" customFormat="false" ht="15" hidden="false" customHeight="false" outlineLevel="0" collapsed="false">
      <c r="B24" s="9" t="s">
        <v>526</v>
      </c>
      <c r="D24" s="14" t="n">
        <f aca="false">Inputs!$D$79</f>
        <v>0.23</v>
      </c>
      <c r="E24" s="14" t="n">
        <f aca="false">Inputs!$D$176</f>
        <v>0.23</v>
      </c>
      <c r="F24" s="54" t="n">
        <f aca="false">(E24-D24)*100</f>
        <v>0</v>
      </c>
      <c r="G24" s="9"/>
    </row>
    <row r="25" customFormat="false" ht="15" hidden="false" customHeight="false" outlineLevel="0" collapsed="false">
      <c r="B25" s="9" t="s">
        <v>527</v>
      </c>
      <c r="D25" s="15" t="n">
        <f aca="false">D23*(1-D24)</f>
        <v>41.0015240096</v>
      </c>
      <c r="E25" s="15" t="n">
        <f aca="false">E23*(1-E24)</f>
        <v>40.869598</v>
      </c>
      <c r="F25" s="53" t="n">
        <f aca="false">E25-D25</f>
        <v>-0.131926009600001</v>
      </c>
      <c r="G25" s="33" t="n">
        <f aca="false">E25/D25-1</f>
        <v>-0.00321758795036775</v>
      </c>
    </row>
    <row r="26" customFormat="false" ht="15" hidden="false" customHeight="false" outlineLevel="0" collapsed="false">
      <c r="B26" s="9" t="s">
        <v>45</v>
      </c>
      <c r="D26" s="34" t="n">
        <f aca="false">Inputs!$D$162</f>
        <v>55.3</v>
      </c>
      <c r="E26" s="34" t="n">
        <f aca="false">Inputs!$D$175</f>
        <v>55.25</v>
      </c>
      <c r="F26" s="53" t="n">
        <f aca="false">E26-D26</f>
        <v>-0.0499999999999972</v>
      </c>
      <c r="G26" s="33" t="n">
        <f aca="false">E26/D26-1</f>
        <v>-0.000904159132007143</v>
      </c>
    </row>
    <row r="27" customFormat="false" ht="15" hidden="false" customHeight="false" outlineLevel="0" collapsed="false">
      <c r="B27" s="9" t="s">
        <v>232</v>
      </c>
      <c r="D27" s="17" t="n">
        <f aca="false">D25/D26</f>
        <v>0.741438047189874</v>
      </c>
      <c r="E27" s="17" t="n">
        <f aca="false">E25/E26</f>
        <v>0.739721230769231</v>
      </c>
      <c r="F27" s="43" t="n">
        <f aca="false">E27-D27</f>
        <v>-0.0017168164206427</v>
      </c>
      <c r="G27" s="33" t="n">
        <f aca="false">E27/D27-1</f>
        <v>-0.00231552241910116</v>
      </c>
    </row>
    <row r="28" customFormat="false" ht="15" hidden="false" customHeight="false" outlineLevel="0" collapsed="false">
      <c r="B28" s="9" t="s">
        <v>237</v>
      </c>
      <c r="D28" s="15" t="n">
        <f aca="false">D25+(D19+D20)*(1-D24)</f>
        <v>51.3965240096</v>
      </c>
      <c r="E28" s="15" t="n">
        <f aca="false">E25+(E19+E20)*(1-E24)</f>
        <v>52.111598</v>
      </c>
      <c r="F28" s="53" t="n">
        <f aca="false">E28-D28</f>
        <v>0.715073990400001</v>
      </c>
      <c r="G28" s="33" t="n">
        <f aca="false">E28/D28-1</f>
        <v>0.0139128862151541</v>
      </c>
    </row>
    <row r="29" customFormat="false" ht="15" hidden="false" customHeight="false" outlineLevel="0" collapsed="false">
      <c r="B29" s="26" t="s">
        <v>238</v>
      </c>
      <c r="D29" s="28" t="n">
        <f aca="false">D28/D26</f>
        <v>0.929412730734177</v>
      </c>
      <c r="E29" s="28" t="n">
        <f aca="false">E28/E26</f>
        <v>0.943196343891403</v>
      </c>
      <c r="F29" s="43" t="n">
        <f aca="false">E29-D29</f>
        <v>0.0137836131572254</v>
      </c>
      <c r="G29" s="33" t="n">
        <f aca="false">E29/D29-1</f>
        <v>0.0148304544379732</v>
      </c>
    </row>
    <row r="31" customFormat="false" ht="15" hidden="false" customHeight="false" outlineLevel="0" collapsed="false">
      <c r="B31" s="18" t="s">
        <v>528</v>
      </c>
      <c r="C31" s="19"/>
      <c r="D31" s="19"/>
      <c r="E31" s="19"/>
      <c r="F31" s="19"/>
      <c r="G31" s="19"/>
    </row>
    <row r="32" customFormat="false" ht="15" hidden="false" customHeight="false" outlineLevel="0" collapsed="false">
      <c r="B32" s="9" t="s">
        <v>529</v>
      </c>
      <c r="D32" s="33" t="n">
        <f aca="false">E29/Inputs!$D$177-1</f>
        <v>0.0252134172732639</v>
      </c>
    </row>
    <row r="33" customFormat="false" ht="15" hidden="false" customHeight="false" outlineLevel="0" collapsed="false">
      <c r="B33" s="9" t="s">
        <v>530</v>
      </c>
      <c r="D33" s="33" t="n">
        <f aca="false">E8/Inputs!$D$178-1</f>
        <v>0.00443622920517561</v>
      </c>
    </row>
    <row r="34" customFormat="false" ht="15" hidden="false" customHeight="false" outlineLevel="0" collapsed="false">
      <c r="B34" s="9" t="s">
        <v>531</v>
      </c>
      <c r="C34" s="20" t="s">
        <v>78</v>
      </c>
      <c r="D34" s="15" t="n">
        <f aca="false">Inputs!$D$179+Inputs!$D$180+Inputs!$D$181</f>
        <v>516</v>
      </c>
    </row>
    <row r="35" customFormat="false" ht="15" hidden="false" customHeight="false" outlineLevel="0" collapsed="false">
      <c r="B35" s="9" t="s">
        <v>532</v>
      </c>
      <c r="D35" s="33" t="n">
        <f aca="false">E5/Inputs!$D$179-1</f>
        <v>0.0106382978723405</v>
      </c>
    </row>
    <row r="36" customFormat="false" ht="15" hidden="false" customHeight="false" outlineLevel="0" collapsed="false">
      <c r="B36" s="9" t="s">
        <v>533</v>
      </c>
      <c r="D36" s="33" t="n">
        <f aca="false">E6/Inputs!$D$180-1</f>
        <v>0.120923913043478</v>
      </c>
    </row>
    <row r="37" customFormat="false" ht="15" hidden="false" customHeight="false" outlineLevel="0" collapsed="false">
      <c r="B37" s="9" t="s">
        <v>534</v>
      </c>
      <c r="D37" s="33" t="n">
        <f aca="false">E7/Inputs!$D$181-1</f>
        <v>0.0643939393939395</v>
      </c>
    </row>
    <row r="38" customFormat="false" ht="15" hidden="false" customHeight="false" outlineLevel="0" collapsed="false">
      <c r="B38" s="9" t="s">
        <v>535</v>
      </c>
      <c r="D38" s="33" t="n">
        <f aca="false">E8/$D$34-1</f>
        <v>0.0531007751937984</v>
      </c>
    </row>
    <row r="39" customFormat="false" ht="15" hidden="false" customHeight="false" outlineLevel="0" collapsed="false">
      <c r="B39" s="9" t="s">
        <v>536</v>
      </c>
      <c r="D39" s="33" t="n">
        <f aca="false">E29/Inputs!$D$182-1</f>
        <v>0.109642757519297</v>
      </c>
    </row>
    <row r="40" customFormat="false" ht="15" hidden="false" customHeight="false" outlineLevel="0" collapsed="false">
      <c r="B40" s="9" t="s">
        <v>537</v>
      </c>
      <c r="D40" s="33" t="n">
        <f aca="false">(E5/Inputs!$D$179)/(1+Inputs!$D$183)-1</f>
        <v>-0.0140114167099116</v>
      </c>
    </row>
    <row r="41" customFormat="false" ht="15" hidden="false" customHeight="false" outlineLevel="0" collapsed="false">
      <c r="B41" s="9" t="s">
        <v>538</v>
      </c>
      <c r="C41" s="20" t="s">
        <v>61</v>
      </c>
      <c r="D41" s="17" t="n">
        <f aca="false">(Inputs!$D$184+Inputs!$D$185)/2</f>
        <v>4.35</v>
      </c>
    </row>
    <row r="42" customFormat="false" ht="15" hidden="false" customHeight="false" outlineLevel="0" collapsed="false">
      <c r="B42" s="9" t="s">
        <v>539</v>
      </c>
      <c r="C42" s="20" t="s">
        <v>61</v>
      </c>
      <c r="D42" s="17" t="n">
        <f aca="false">(Inputs!$D$186+Inputs!$D$187)/2</f>
        <v>4.45</v>
      </c>
    </row>
    <row r="44" customFormat="false" ht="15" hidden="false" customHeight="false" outlineLevel="0" collapsed="false">
      <c r="B44" s="18" t="s">
        <v>540</v>
      </c>
      <c r="C44" s="19"/>
      <c r="D44" s="19"/>
      <c r="E44" s="19"/>
      <c r="F44" s="19"/>
      <c r="G44" s="19"/>
    </row>
    <row r="45" customFormat="false" ht="15" hidden="false" customHeight="false" outlineLevel="0" collapsed="false">
      <c r="B45" s="6" t="s">
        <v>541</v>
      </c>
    </row>
    <row r="46" customFormat="false" ht="15" hidden="false" customHeight="false" outlineLevel="0" collapsed="false">
      <c r="B46" s="26" t="s">
        <v>488</v>
      </c>
      <c r="D46" s="49" t="n">
        <f aca="false">D29</f>
        <v>0.929412730734177</v>
      </c>
    </row>
    <row r="47" customFormat="false" ht="15" hidden="false" customHeight="false" outlineLevel="0" collapsed="false">
      <c r="B47" s="9" t="s">
        <v>515</v>
      </c>
      <c r="D47" s="50" t="n">
        <f aca="false">(E5-D5)*D9*(1-Inputs!$D$79)/D26</f>
        <v>-0.0108236658227848</v>
      </c>
    </row>
    <row r="48" customFormat="false" ht="15" hidden="false" customHeight="false" outlineLevel="0" collapsed="false">
      <c r="B48" s="9" t="s">
        <v>518</v>
      </c>
      <c r="D48" s="50" t="n">
        <f aca="false">E5*(E9-D9)*(1-Inputs!$D$79)/D26</f>
        <v>-0.0222227848101266</v>
      </c>
    </row>
    <row r="49" customFormat="false" ht="15" hidden="false" customHeight="false" outlineLevel="0" collapsed="false">
      <c r="B49" s="9" t="s">
        <v>516</v>
      </c>
      <c r="D49" s="50" t="n">
        <f aca="false">(E6-D6)*D10*(1-Inputs!$D$79)/D26</f>
        <v>0.0146756374683544</v>
      </c>
    </row>
    <row r="50" customFormat="false" ht="15" hidden="false" customHeight="false" outlineLevel="0" collapsed="false">
      <c r="B50" s="9" t="s">
        <v>519</v>
      </c>
      <c r="D50" s="50" t="n">
        <f aca="false">E6*(E10-D10)*(1-Inputs!$D$79)/D26</f>
        <v>0.029867088607595</v>
      </c>
    </row>
    <row r="51" customFormat="false" ht="15" hidden="false" customHeight="false" outlineLevel="0" collapsed="false">
      <c r="B51" s="9" t="s">
        <v>517</v>
      </c>
      <c r="D51" s="50" t="n">
        <f aca="false">(E7-D7)*D11*(1-Inputs!$D$79)/D26</f>
        <v>-0.00239179098734179</v>
      </c>
    </row>
    <row r="52" customFormat="false" ht="15" hidden="false" customHeight="false" outlineLevel="0" collapsed="false">
      <c r="B52" s="9" t="s">
        <v>520</v>
      </c>
      <c r="D52" s="50" t="n">
        <f aca="false">E7*(E11-D11)*(1-Inputs!$D$79)/D26</f>
        <v>0.00313012658227848</v>
      </c>
    </row>
    <row r="53" customFormat="false" ht="15" hidden="false" customHeight="false" outlineLevel="0" collapsed="false">
      <c r="B53" s="9" t="s">
        <v>487</v>
      </c>
      <c r="D53" s="50" t="n">
        <f aca="false">D54-D46-SUM(D47:D52)</f>
        <v>0.0015490021192508</v>
      </c>
    </row>
    <row r="54" customFormat="false" ht="15" hidden="false" customHeight="false" outlineLevel="0" collapsed="false">
      <c r="B54" s="26" t="s">
        <v>542</v>
      </c>
      <c r="D54" s="49" t="n">
        <f aca="false">E29</f>
        <v>0.943196343891403</v>
      </c>
    </row>
    <row r="56" customFormat="false" ht="15" hidden="false" customHeight="false" outlineLevel="0" collapsed="false">
      <c r="B56" s="18" t="s">
        <v>543</v>
      </c>
      <c r="C56" s="19"/>
      <c r="D56" s="19"/>
      <c r="E56" s="19"/>
      <c r="F56" s="19"/>
      <c r="G56" s="19"/>
    </row>
    <row r="57" customFormat="false" ht="15" hidden="false" customHeight="false" outlineLevel="0" collapsed="false">
      <c r="B57" s="9" t="s">
        <v>544</v>
      </c>
      <c r="D57" s="14" t="n">
        <f aca="false">(Valuation!$D$32+Model!$G$57)/Inputs!$D$190-1</f>
        <v>0.156285390713477</v>
      </c>
    </row>
    <row r="58" customFormat="false" ht="15" hidden="false" customHeight="false" outlineLevel="0" collapsed="false">
      <c r="B58" s="26" t="s">
        <v>498</v>
      </c>
      <c r="D58" s="26" t="str">
        <f aca="false">IF($D$57&gt;=Inputs!$D$93,"Buy",IF($D$57&lt;=Inputs!$D$94,"Sell","Hold"))</f>
        <v>Buy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I9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3" topLeftCell="D4" activePane="bottomRight" state="frozen"/>
      <selection pane="topLeft" activeCell="A1" activeCellId="0" sqref="A1"/>
      <selection pane="topRight" activeCell="D1" activeCellId="0" sqref="D1"/>
      <selection pane="bottomLeft" activeCell="A4" activeCellId="0" sqref="A4"/>
      <selection pane="bottomRight" activeCell="A1" activeCellId="0" sqref="A1"/>
    </sheetView>
  </sheetViews>
  <sheetFormatPr defaultColWidth="8.558593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8"/>
    <col collapsed="false" customWidth="true" hidden="false" outlineLevel="0" max="3" min="3" style="0" width="6"/>
    <col collapsed="false" customWidth="true" hidden="false" outlineLevel="0" max="9" min="4" style="0" width="12"/>
  </cols>
  <sheetData>
    <row r="1" customFormat="false" ht="6" hidden="false" customHeight="true" outlineLevel="0" collapsed="false"/>
    <row r="2" customFormat="false" ht="17.35" hidden="false" customHeight="false" outlineLevel="0" collapsed="false">
      <c r="B2" s="5" t="s">
        <v>545</v>
      </c>
    </row>
    <row r="3" customFormat="false" ht="15" hidden="false" customHeight="false" outlineLevel="0" collapsed="false">
      <c r="B3" s="6" t="s">
        <v>546</v>
      </c>
    </row>
    <row r="4" customFormat="false" ht="15" hidden="false" customHeight="false" outlineLevel="0" collapsed="false">
      <c r="B4" s="7" t="s">
        <v>547</v>
      </c>
      <c r="C4" s="8"/>
      <c r="D4" s="8" t="s">
        <v>26</v>
      </c>
      <c r="E4" s="8" t="s">
        <v>27</v>
      </c>
      <c r="F4" s="8" t="s">
        <v>28</v>
      </c>
    </row>
    <row r="5" customFormat="false" ht="15" hidden="false" customHeight="false" outlineLevel="0" collapsed="false">
      <c r="B5" s="9" t="s">
        <v>548</v>
      </c>
      <c r="D5" s="17" t="n">
        <f aca="false">Model!$G$48</f>
        <v>4.398415616</v>
      </c>
      <c r="E5" s="17" t="n">
        <f aca="false">Model!$H$48</f>
        <v>5.05801284230324</v>
      </c>
      <c r="F5" s="17" t="n">
        <f aca="false">Model!$I$48</f>
        <v>5.76486099307068</v>
      </c>
    </row>
    <row r="6" customFormat="false" ht="15" hidden="false" customHeight="false" outlineLevel="0" collapsed="false">
      <c r="B6" s="9" t="s">
        <v>549</v>
      </c>
      <c r="D6" s="17" t="n">
        <f aca="false">Revision!$G$78</f>
        <v>4.402502496</v>
      </c>
      <c r="E6" s="17" t="n">
        <f aca="false">Revision!$H$78</f>
        <v>5.10375267119478</v>
      </c>
      <c r="F6" s="17" t="n">
        <f aca="false">Revision!$I$78</f>
        <v>5.83861230983321</v>
      </c>
    </row>
    <row r="7" customFormat="false" ht="15" hidden="false" customHeight="false" outlineLevel="0" collapsed="false">
      <c r="B7" s="9" t="s">
        <v>392</v>
      </c>
      <c r="D7" s="33" t="n">
        <f aca="false">D6/D5-1</f>
        <v>0.000929170946267988</v>
      </c>
      <c r="E7" s="33" t="n">
        <f aca="false">E6/E5-1</f>
        <v>0.00904304324990912</v>
      </c>
      <c r="F7" s="33" t="n">
        <f aca="false">F6/F5-1</f>
        <v>0.012793251537405</v>
      </c>
    </row>
    <row r="8" customFormat="false" ht="15" hidden="false" customHeight="false" outlineLevel="0" collapsed="false">
      <c r="B8" s="9" t="s">
        <v>550</v>
      </c>
      <c r="D8" s="15" t="n">
        <f aca="false">Model!$G$18</f>
        <v>2326.168</v>
      </c>
      <c r="E8" s="15" t="n">
        <f aca="false">Model!$H$18</f>
        <v>2472.7092448</v>
      </c>
      <c r="F8" s="15" t="n">
        <f aca="false">Model!$I$18</f>
        <v>2627.96703228328</v>
      </c>
    </row>
    <row r="9" customFormat="false" ht="15" hidden="false" customHeight="false" outlineLevel="0" collapsed="false">
      <c r="B9" s="9" t="s">
        <v>551</v>
      </c>
      <c r="D9" s="15" t="n">
        <f aca="false">Revision!$G$48</f>
        <v>2325.348</v>
      </c>
      <c r="E9" s="15" t="n">
        <f aca="false">Revision!$H$48</f>
        <v>2474.1662208</v>
      </c>
      <c r="F9" s="15" t="n">
        <f aca="false">Revision!$I$48</f>
        <v>2634.38965587928</v>
      </c>
    </row>
    <row r="11" customFormat="false" ht="15" hidden="false" customHeight="false" outlineLevel="0" collapsed="false">
      <c r="B11" s="9" t="s">
        <v>552</v>
      </c>
      <c r="D11" s="33" t="n">
        <f aca="false">Revision!$G$78/Quarter!$D$42-1</f>
        <v>-0.0106735964044944</v>
      </c>
    </row>
    <row r="12" customFormat="false" ht="15" hidden="false" customHeight="false" outlineLevel="0" collapsed="false">
      <c r="B12" s="9" t="s">
        <v>553</v>
      </c>
      <c r="D12" s="32" t="n">
        <f aca="false">Inputs!$D$95</f>
        <v>20</v>
      </c>
    </row>
    <row r="13" customFormat="false" ht="15" hidden="false" customHeight="false" outlineLevel="0" collapsed="false">
      <c r="B13" s="9" t="s">
        <v>554</v>
      </c>
      <c r="C13" s="20" t="s">
        <v>61</v>
      </c>
      <c r="D13" s="17" t="n">
        <f aca="false">$D$12*Revision!$H$78</f>
        <v>102.075053423896</v>
      </c>
    </row>
    <row r="14" customFormat="false" ht="15" hidden="false" customHeight="false" outlineLevel="0" collapsed="false">
      <c r="B14" s="26" t="s">
        <v>555</v>
      </c>
      <c r="C14" s="20" t="s">
        <v>61</v>
      </c>
      <c r="D14" s="37" t="n">
        <f aca="false">ROUND($D$13,0)</f>
        <v>102</v>
      </c>
    </row>
    <row r="15" customFormat="false" ht="15" hidden="false" customHeight="false" outlineLevel="0" collapsed="false">
      <c r="B15" s="9" t="s">
        <v>556</v>
      </c>
      <c r="C15" s="20" t="s">
        <v>61</v>
      </c>
      <c r="D15" s="51" t="n">
        <f aca="false">Valuation!$D$32</f>
        <v>101</v>
      </c>
    </row>
    <row r="16" customFormat="false" ht="15" hidden="false" customHeight="false" outlineLevel="0" collapsed="false">
      <c r="B16" s="9" t="s">
        <v>557</v>
      </c>
      <c r="D16" s="33" t="n">
        <f aca="false">Inputs!$D$191/Inputs!$D$190-1</f>
        <v>0.0560588901472254</v>
      </c>
    </row>
    <row r="17" customFormat="false" ht="15" hidden="false" customHeight="false" outlineLevel="0" collapsed="false">
      <c r="B17" s="9" t="s">
        <v>558</v>
      </c>
      <c r="D17" s="33" t="n">
        <f aca="false">$D$16-Inputs!$D$192</f>
        <v>0.0520588901472254</v>
      </c>
    </row>
    <row r="18" customFormat="false" ht="15" hidden="false" customHeight="false" outlineLevel="0" collapsed="false">
      <c r="B18" s="9" t="s">
        <v>559</v>
      </c>
      <c r="D18" s="32" t="n">
        <f aca="false">Inputs!$D$190/Model!$H$48</f>
        <v>17.4574487556642</v>
      </c>
    </row>
    <row r="19" customFormat="false" ht="15" hidden="false" customHeight="false" outlineLevel="0" collapsed="false">
      <c r="B19" s="9" t="s">
        <v>560</v>
      </c>
      <c r="D19" s="32" t="n">
        <f aca="false">Inputs!$D$191/Revision!$H$78</f>
        <v>18.2708696928628</v>
      </c>
    </row>
    <row r="20" customFormat="false" ht="15" hidden="false" customHeight="false" outlineLevel="0" collapsed="false">
      <c r="B20" s="9" t="s">
        <v>561</v>
      </c>
      <c r="C20" s="20" t="s">
        <v>61</v>
      </c>
      <c r="D20" s="17" t="n">
        <f aca="false">Inputs!$D$190*(1+$E$7)</f>
        <v>89.098500718967</v>
      </c>
    </row>
    <row r="21" customFormat="false" ht="15" hidden="false" customHeight="false" outlineLevel="0" collapsed="false">
      <c r="B21" s="9" t="s">
        <v>562</v>
      </c>
      <c r="D21" s="33" t="n">
        <f aca="false">$D$16-$E$7</f>
        <v>0.0470158468973163</v>
      </c>
    </row>
    <row r="22" customFormat="false" ht="15" hidden="false" customHeight="false" outlineLevel="0" collapsed="false">
      <c r="B22" s="9" t="s">
        <v>563</v>
      </c>
      <c r="D22" s="14" t="n">
        <f aca="false">$D$14/Inputs!$D$191-1</f>
        <v>0.093833780160858</v>
      </c>
    </row>
    <row r="23" customFormat="false" ht="15" hidden="false" customHeight="false" outlineLevel="0" collapsed="false">
      <c r="B23" s="9" t="s">
        <v>564</v>
      </c>
      <c r="D23" s="14" t="n">
        <f aca="false">Revision!$G$87/Inputs!$D$191</f>
        <v>0.0117962466487936</v>
      </c>
    </row>
    <row r="24" customFormat="false" ht="15" hidden="false" customHeight="false" outlineLevel="0" collapsed="false">
      <c r="B24" s="26" t="s">
        <v>565</v>
      </c>
      <c r="D24" s="36" t="n">
        <f aca="false">$D$22+$D$23</f>
        <v>0.105630026809652</v>
      </c>
    </row>
    <row r="25" customFormat="false" ht="15" hidden="false" customHeight="false" outlineLevel="0" collapsed="false">
      <c r="B25" s="26" t="s">
        <v>566</v>
      </c>
      <c r="D25" s="26" t="str">
        <f aca="false">IF($D$24&gt;=Inputs!$D$93,"Buy",IF($D$24&lt;=Inputs!$D$94,"Sell","Hold"))</f>
        <v>Hold</v>
      </c>
    </row>
    <row r="26" customFormat="false" ht="15" hidden="false" customHeight="false" outlineLevel="0" collapsed="false">
      <c r="B26" s="9" t="s">
        <v>567</v>
      </c>
      <c r="C26" s="20" t="s">
        <v>61</v>
      </c>
      <c r="D26" s="17" t="n">
        <f aca="false">Inputs!$D$191*(1+Inputs!$D$93)-Revision!$G$87</f>
        <v>106.1375</v>
      </c>
    </row>
    <row r="27" customFormat="false" ht="15" hidden="false" customHeight="false" outlineLevel="0" collapsed="false">
      <c r="B27" s="9" t="s">
        <v>568</v>
      </c>
      <c r="D27" s="32" t="n">
        <f aca="false">$D$26/Revision!$H$78</f>
        <v>20.7959724614072</v>
      </c>
    </row>
    <row r="34" customFormat="false" ht="15" hidden="false" customHeight="false" outlineLevel="0" collapsed="false">
      <c r="B34" s="7" t="s">
        <v>569</v>
      </c>
      <c r="C34" s="8"/>
      <c r="D34" s="8" t="s">
        <v>23</v>
      </c>
      <c r="E34" s="8" t="s">
        <v>24</v>
      </c>
      <c r="F34" s="8" t="s">
        <v>25</v>
      </c>
      <c r="G34" s="8" t="s">
        <v>26</v>
      </c>
      <c r="H34" s="8" t="s">
        <v>27</v>
      </c>
      <c r="I34" s="8" t="s">
        <v>28</v>
      </c>
    </row>
    <row r="35" customFormat="false" ht="15" hidden="false" customHeight="false" outlineLevel="0" collapsed="false">
      <c r="B35" s="18" t="s">
        <v>205</v>
      </c>
      <c r="C35" s="19"/>
      <c r="D35" s="19"/>
      <c r="E35" s="19"/>
      <c r="F35" s="19"/>
      <c r="G35" s="19"/>
      <c r="H35" s="19"/>
      <c r="I35" s="19"/>
    </row>
    <row r="36" customFormat="false" ht="15" hidden="false" customHeight="false" outlineLevel="0" collapsed="false">
      <c r="B36" s="9" t="s">
        <v>32</v>
      </c>
      <c r="C36" s="20" t="s">
        <v>206</v>
      </c>
      <c r="D36" s="14" t="n">
        <f aca="false">(1+D38)/(1+D37)-1</f>
        <v>0.0103708741165327</v>
      </c>
      <c r="E36" s="14" t="n">
        <f aca="false">(1+E38)/(1+E37)-1</f>
        <v>0.0128827483196416</v>
      </c>
      <c r="F36" s="14" t="n">
        <f aca="false">(1+F38)/(1+F37)-1</f>
        <v>0.00708103855232101</v>
      </c>
      <c r="G36" s="14" t="n">
        <f aca="false">Inputs!$G$28</f>
        <v>-0.005</v>
      </c>
      <c r="H36" s="14" t="n">
        <f aca="false">Inputs!$H$28</f>
        <v>0.015</v>
      </c>
      <c r="I36" s="14" t="n">
        <f aca="false">Inputs!$I$28</f>
        <v>0.025</v>
      </c>
    </row>
    <row r="37" customFormat="false" ht="15" hidden="false" customHeight="false" outlineLevel="0" collapsed="false">
      <c r="B37" s="9" t="s">
        <v>35</v>
      </c>
      <c r="C37" s="20" t="s">
        <v>206</v>
      </c>
      <c r="D37" s="14" t="n">
        <f aca="false">Inputs!$D$11</f>
        <v>0.045</v>
      </c>
      <c r="E37" s="14" t="n">
        <f aca="false">Inputs!$E$11</f>
        <v>0.03</v>
      </c>
      <c r="F37" s="14" t="n">
        <f aca="false">Inputs!$F$11</f>
        <v>0.025</v>
      </c>
      <c r="G37" s="14" t="n">
        <f aca="false">Inputs!$G$31</f>
        <v>0.025</v>
      </c>
      <c r="H37" s="14" t="n">
        <f aca="false">Inputs!$H$31</f>
        <v>0.02</v>
      </c>
      <c r="I37" s="14" t="n">
        <f aca="false">Inputs!$I$31</f>
        <v>0.02</v>
      </c>
    </row>
    <row r="38" customFormat="false" ht="15" hidden="false" customHeight="false" outlineLevel="0" collapsed="false">
      <c r="B38" s="9" t="s">
        <v>207</v>
      </c>
      <c r="C38" s="20" t="s">
        <v>206</v>
      </c>
      <c r="D38" s="14" t="n">
        <f aca="false">D39/Inputs!$C$5-1</f>
        <v>0.0558375634517767</v>
      </c>
      <c r="E38" s="14" t="n">
        <f aca="false">E39/D39-1</f>
        <v>0.0432692307692308</v>
      </c>
      <c r="F38" s="14" t="n">
        <f aca="false">F39/E39-1</f>
        <v>0.032258064516129</v>
      </c>
      <c r="G38" s="14" t="n">
        <f aca="false">(1+G36)*(1+G37)-1</f>
        <v>0.0198749999999999</v>
      </c>
      <c r="H38" s="14" t="n">
        <f aca="false">(1+H36)*(1+H37)-1</f>
        <v>0.0352999999999999</v>
      </c>
      <c r="I38" s="14" t="n">
        <f aca="false">(1+I36)*(1+I37)-1</f>
        <v>0.0454999999999999</v>
      </c>
    </row>
    <row r="39" customFormat="false" ht="15" hidden="false" customHeight="false" outlineLevel="0" collapsed="false">
      <c r="B39" s="9" t="s">
        <v>208</v>
      </c>
      <c r="C39" s="20" t="s">
        <v>78</v>
      </c>
      <c r="D39" s="15" t="n">
        <f aca="false">Inputs!$D$5</f>
        <v>1040</v>
      </c>
      <c r="E39" s="15" t="n">
        <f aca="false">Inputs!$E$5</f>
        <v>1085</v>
      </c>
      <c r="F39" s="15" t="n">
        <f aca="false">Inputs!$F$5</f>
        <v>1120</v>
      </c>
      <c r="G39" s="15" t="n">
        <f aca="false">F39*(1+G38)</f>
        <v>1142.26</v>
      </c>
      <c r="H39" s="15" t="n">
        <f aca="false">G39*(1+H38)</f>
        <v>1182.581778</v>
      </c>
      <c r="I39" s="15" t="n">
        <f aca="false">H39*(1+I38)</f>
        <v>1236.389248899</v>
      </c>
    </row>
    <row r="40" customFormat="false" ht="15" hidden="false" customHeight="false" outlineLevel="0" collapsed="false">
      <c r="B40" s="9" t="s">
        <v>33</v>
      </c>
      <c r="C40" s="20" t="s">
        <v>206</v>
      </c>
      <c r="D40" s="14" t="n">
        <f aca="false">(1+D42)/(1+D41)-1</f>
        <v>0.0661409719987125</v>
      </c>
      <c r="E40" s="14" t="n">
        <f aca="false">(1+E42)/(1+E41)-1</f>
        <v>0.0716248397142334</v>
      </c>
      <c r="F40" s="14" t="n">
        <f aca="false">(1+F42)/(1+F41)-1</f>
        <v>0.0673337502605798</v>
      </c>
      <c r="G40" s="14" t="n">
        <f aca="false">Inputs!$G$29</f>
        <v>0.085</v>
      </c>
      <c r="H40" s="14" t="n">
        <f aca="false">Inputs!$H$29</f>
        <v>0.075</v>
      </c>
      <c r="I40" s="14" t="n">
        <f aca="false">Inputs!$I$29</f>
        <v>0.065</v>
      </c>
    </row>
    <row r="41" customFormat="false" ht="15" hidden="false" customHeight="false" outlineLevel="0" collapsed="false">
      <c r="B41" s="9" t="s">
        <v>36</v>
      </c>
      <c r="C41" s="20" t="s">
        <v>206</v>
      </c>
      <c r="D41" s="14" t="n">
        <f aca="false">Inputs!$D$12</f>
        <v>0.04</v>
      </c>
      <c r="E41" s="14" t="n">
        <f aca="false">Inputs!$E$12</f>
        <v>0.03</v>
      </c>
      <c r="F41" s="14" t="n">
        <f aca="false">Inputs!$F$12</f>
        <v>0.025</v>
      </c>
      <c r="G41" s="14" t="n">
        <f aca="false">Inputs!$G$32</f>
        <v>0.025</v>
      </c>
      <c r="H41" s="14" t="n">
        <f aca="false">Inputs!$H$32</f>
        <v>0.025</v>
      </c>
      <c r="I41" s="14" t="n">
        <f aca="false">Inputs!$I$32</f>
        <v>0.02</v>
      </c>
    </row>
    <row r="42" customFormat="false" ht="15" hidden="false" customHeight="false" outlineLevel="0" collapsed="false">
      <c r="B42" s="9" t="s">
        <v>209</v>
      </c>
      <c r="C42" s="20" t="s">
        <v>206</v>
      </c>
      <c r="D42" s="14" t="n">
        <f aca="false">D43/Inputs!$C$6-1</f>
        <v>0.108786610878661</v>
      </c>
      <c r="E42" s="14" t="n">
        <f aca="false">E43/D43-1</f>
        <v>0.10377358490566</v>
      </c>
      <c r="F42" s="14" t="n">
        <f aca="false">F43/E43-1</f>
        <v>0.0940170940170941</v>
      </c>
      <c r="G42" s="14" t="n">
        <f aca="false">(1+G40)*(1+G41)-1</f>
        <v>0.112125</v>
      </c>
      <c r="H42" s="14" t="n">
        <f aca="false">(1+H40)*(1+H41)-1</f>
        <v>0.101875</v>
      </c>
      <c r="I42" s="14" t="n">
        <f aca="false">(1+I40)*(1+I41)-1</f>
        <v>0.0863</v>
      </c>
    </row>
    <row r="43" customFormat="false" ht="15" hidden="false" customHeight="false" outlineLevel="0" collapsed="false">
      <c r="B43" s="9" t="s">
        <v>210</v>
      </c>
      <c r="C43" s="20" t="s">
        <v>78</v>
      </c>
      <c r="D43" s="15" t="n">
        <f aca="false">Inputs!$D$6</f>
        <v>530</v>
      </c>
      <c r="E43" s="15" t="n">
        <f aca="false">Inputs!$E$6</f>
        <v>585</v>
      </c>
      <c r="F43" s="15" t="n">
        <f aca="false">Inputs!$F$6</f>
        <v>640</v>
      </c>
      <c r="G43" s="15" t="n">
        <f aca="false">F43*(1+G42)</f>
        <v>711.76</v>
      </c>
      <c r="H43" s="15" t="n">
        <f aca="false">G43*(1+H42)</f>
        <v>784.27055</v>
      </c>
      <c r="I43" s="15" t="n">
        <f aca="false">H43*(1+I42)</f>
        <v>851.953098465</v>
      </c>
    </row>
    <row r="44" customFormat="false" ht="15" hidden="false" customHeight="false" outlineLevel="0" collapsed="false">
      <c r="B44" s="9" t="s">
        <v>34</v>
      </c>
      <c r="C44" s="20" t="s">
        <v>206</v>
      </c>
      <c r="D44" s="14" t="n">
        <f aca="false">(1+D46)/(1+D45)-1</f>
        <v>0.0281385281385282</v>
      </c>
      <c r="E44" s="14" t="n">
        <f aca="false">(1+E46)/(1+E45)-1</f>
        <v>0.0424612255275871</v>
      </c>
      <c r="F44" s="14" t="n">
        <f aca="false">(1+F46)/(1+F45)-1</f>
        <v>0.0419133317546767</v>
      </c>
      <c r="G44" s="14" t="n">
        <f aca="false">Inputs!$G$30</f>
        <v>0.04</v>
      </c>
      <c r="H44" s="14" t="n">
        <f aca="false">Inputs!$H$30</f>
        <v>0.045</v>
      </c>
      <c r="I44" s="14" t="n">
        <f aca="false">Inputs!$I$30</f>
        <v>0.045</v>
      </c>
    </row>
    <row r="45" customFormat="false" ht="15" hidden="false" customHeight="false" outlineLevel="0" collapsed="false">
      <c r="B45" s="9" t="s">
        <v>37</v>
      </c>
      <c r="C45" s="20" t="s">
        <v>206</v>
      </c>
      <c r="D45" s="14" t="n">
        <f aca="false">Inputs!$D$13</f>
        <v>0.05</v>
      </c>
      <c r="E45" s="14" t="n">
        <f aca="false">Inputs!$E$13</f>
        <v>0.035</v>
      </c>
      <c r="F45" s="14" t="n">
        <f aca="false">Inputs!$F$13</f>
        <v>0.03</v>
      </c>
      <c r="G45" s="14" t="n">
        <f aca="false">Inputs!$G$33</f>
        <v>0.03</v>
      </c>
      <c r="H45" s="14" t="n">
        <f aca="false">Inputs!$H$33</f>
        <v>0.03</v>
      </c>
      <c r="I45" s="14" t="n">
        <f aca="false">Inputs!$I$33</f>
        <v>0.03</v>
      </c>
    </row>
    <row r="46" customFormat="false" ht="15" hidden="false" customHeight="false" outlineLevel="0" collapsed="false">
      <c r="B46" s="9" t="s">
        <v>211</v>
      </c>
      <c r="C46" s="20" t="s">
        <v>206</v>
      </c>
      <c r="D46" s="14" t="n">
        <f aca="false">D47/Inputs!$C$7-1</f>
        <v>0.0795454545454546</v>
      </c>
      <c r="E46" s="14" t="n">
        <f aca="false">E47/D47-1</f>
        <v>0.0789473684210527</v>
      </c>
      <c r="F46" s="14" t="n">
        <f aca="false">F47/E47-1</f>
        <v>0.0731707317073171</v>
      </c>
      <c r="G46" s="14" t="n">
        <f aca="false">(1+G44)*(1+G45)-1</f>
        <v>0.0712000000000002</v>
      </c>
      <c r="H46" s="14" t="n">
        <f aca="false">(1+H44)*(1+H45)-1</f>
        <v>0.0763499999999999</v>
      </c>
      <c r="I46" s="14" t="n">
        <f aca="false">(1+I44)*(1+I45)-1</f>
        <v>0.0763499999999999</v>
      </c>
    </row>
    <row r="47" customFormat="false" ht="15" hidden="false" customHeight="false" outlineLevel="0" collapsed="false">
      <c r="B47" s="9" t="s">
        <v>212</v>
      </c>
      <c r="C47" s="20" t="s">
        <v>78</v>
      </c>
      <c r="D47" s="15" t="n">
        <f aca="false">Inputs!$D$7</f>
        <v>380</v>
      </c>
      <c r="E47" s="15" t="n">
        <f aca="false">Inputs!$E$7</f>
        <v>410</v>
      </c>
      <c r="F47" s="15" t="n">
        <f aca="false">Inputs!$F$7</f>
        <v>440</v>
      </c>
      <c r="G47" s="15" t="n">
        <f aca="false">F47*(1+G46)</f>
        <v>471.328</v>
      </c>
      <c r="H47" s="15" t="n">
        <f aca="false">G47*(1+H46)</f>
        <v>507.3138928</v>
      </c>
      <c r="I47" s="15" t="n">
        <f aca="false">H47*(1+I46)</f>
        <v>546.04730851528</v>
      </c>
    </row>
    <row r="48" customFormat="false" ht="15" hidden="false" customHeight="false" outlineLevel="0" collapsed="false">
      <c r="B48" s="26" t="s">
        <v>213</v>
      </c>
      <c r="C48" s="20" t="s">
        <v>78</v>
      </c>
      <c r="D48" s="27" t="n">
        <f aca="false">D39+D43+D47</f>
        <v>1950</v>
      </c>
      <c r="E48" s="27" t="n">
        <f aca="false">E39+E43+E47</f>
        <v>2080</v>
      </c>
      <c r="F48" s="27" t="n">
        <f aca="false">F39+F43+F47</f>
        <v>2200</v>
      </c>
      <c r="G48" s="27" t="n">
        <f aca="false">G39+G43+G47</f>
        <v>2325.348</v>
      </c>
      <c r="H48" s="27" t="n">
        <f aca="false">H39+H43+H47</f>
        <v>2474.1662208</v>
      </c>
      <c r="I48" s="27" t="n">
        <f aca="false">I39+I43+I47</f>
        <v>2634.38965587928</v>
      </c>
    </row>
    <row r="49" customFormat="false" ht="15" hidden="false" customHeight="false" outlineLevel="0" collapsed="false">
      <c r="B49" s="9" t="s">
        <v>214</v>
      </c>
      <c r="C49" s="20" t="s">
        <v>206</v>
      </c>
      <c r="D49" s="14" t="n">
        <f aca="false">D48/(Inputs!$C$5+Inputs!$C$6+Inputs!$C$7)-1</f>
        <v>0.0743801652892562</v>
      </c>
      <c r="E49" s="14" t="n">
        <f aca="false">E48/D48-1</f>
        <v>0.0666666666666667</v>
      </c>
      <c r="F49" s="14" t="n">
        <f aca="false">F48/E48-1</f>
        <v>0.0576923076923077</v>
      </c>
      <c r="G49" s="14" t="n">
        <f aca="false">G48/F48-1</f>
        <v>0.0569763636363634</v>
      </c>
      <c r="H49" s="14" t="n">
        <f aca="false">H48/G48-1</f>
        <v>0.0639982578091538</v>
      </c>
      <c r="I49" s="14" t="n">
        <f aca="false">I48/H48-1</f>
        <v>0.0647585573403684</v>
      </c>
    </row>
    <row r="50" customFormat="false" ht="15" hidden="false" customHeight="false" outlineLevel="0" collapsed="false">
      <c r="B50" s="18" t="s">
        <v>215</v>
      </c>
      <c r="C50" s="19"/>
      <c r="D50" s="19"/>
      <c r="E50" s="19"/>
      <c r="F50" s="19"/>
      <c r="G50" s="19"/>
      <c r="H50" s="19"/>
      <c r="I50" s="19"/>
    </row>
    <row r="51" customFormat="false" ht="15" hidden="false" customHeight="false" outlineLevel="0" collapsed="false">
      <c r="B51" s="9" t="s">
        <v>38</v>
      </c>
      <c r="C51" s="20" t="s">
        <v>206</v>
      </c>
      <c r="D51" s="14" t="n">
        <f aca="false">Inputs!$D$14</f>
        <v>0.121</v>
      </c>
      <c r="E51" s="14" t="n">
        <f aca="false">Inputs!$E$14</f>
        <v>0.126</v>
      </c>
      <c r="F51" s="14" t="n">
        <f aca="false">Inputs!$F$14</f>
        <v>0.13</v>
      </c>
      <c r="G51" s="14" t="n">
        <f aca="false">Inputs!$G$34</f>
        <v>0.128</v>
      </c>
      <c r="H51" s="14" t="n">
        <f aca="false">Inputs!$H$34</f>
        <v>0.134</v>
      </c>
      <c r="I51" s="14" t="n">
        <f aca="false">Inputs!$I$34</f>
        <v>0.139</v>
      </c>
    </row>
    <row r="52" customFormat="false" ht="15" hidden="false" customHeight="false" outlineLevel="0" collapsed="false">
      <c r="B52" s="9" t="s">
        <v>216</v>
      </c>
      <c r="C52" s="20" t="s">
        <v>78</v>
      </c>
      <c r="D52" s="15" t="n">
        <f aca="false">D39*D51</f>
        <v>125.84</v>
      </c>
      <c r="E52" s="15" t="n">
        <f aca="false">E39*E51</f>
        <v>136.71</v>
      </c>
      <c r="F52" s="15" t="n">
        <f aca="false">F39*F51</f>
        <v>145.6</v>
      </c>
      <c r="G52" s="15" t="n">
        <f aca="false">G39*G51</f>
        <v>146.20928</v>
      </c>
      <c r="H52" s="15" t="n">
        <f aca="false">H39*H51</f>
        <v>158.465958252</v>
      </c>
      <c r="I52" s="15" t="n">
        <f aca="false">I39*I51</f>
        <v>171.858105596961</v>
      </c>
    </row>
    <row r="53" customFormat="false" ht="15" hidden="false" customHeight="false" outlineLevel="0" collapsed="false">
      <c r="B53" s="9" t="s">
        <v>39</v>
      </c>
      <c r="C53" s="20" t="s">
        <v>206</v>
      </c>
      <c r="D53" s="14" t="n">
        <f aca="false">Inputs!$D$15</f>
        <v>0.195</v>
      </c>
      <c r="E53" s="14" t="n">
        <f aca="false">Inputs!$E$15</f>
        <v>0.203</v>
      </c>
      <c r="F53" s="14" t="n">
        <f aca="false">Inputs!$F$15</f>
        <v>0.21</v>
      </c>
      <c r="G53" s="14" t="n">
        <f aca="false">Inputs!$G$35</f>
        <v>0.223</v>
      </c>
      <c r="H53" s="14" t="n">
        <f aca="false">Inputs!$H$35</f>
        <v>0.229</v>
      </c>
      <c r="I53" s="14" t="n">
        <f aca="false">Inputs!$I$35</f>
        <v>0.233</v>
      </c>
    </row>
    <row r="54" customFormat="false" ht="15" hidden="false" customHeight="false" outlineLevel="0" collapsed="false">
      <c r="B54" s="9" t="s">
        <v>217</v>
      </c>
      <c r="C54" s="20" t="s">
        <v>78</v>
      </c>
      <c r="D54" s="15" t="n">
        <f aca="false">D43*D53</f>
        <v>103.35</v>
      </c>
      <c r="E54" s="15" t="n">
        <f aca="false">E43*E53</f>
        <v>118.755</v>
      </c>
      <c r="F54" s="15" t="n">
        <f aca="false">F43*F53</f>
        <v>134.4</v>
      </c>
      <c r="G54" s="15" t="n">
        <f aca="false">G43*G53</f>
        <v>158.72248</v>
      </c>
      <c r="H54" s="15" t="n">
        <f aca="false">H43*H53</f>
        <v>179.59795595</v>
      </c>
      <c r="I54" s="15" t="n">
        <f aca="false">I43*I53</f>
        <v>198.505071942345</v>
      </c>
    </row>
    <row r="55" customFormat="false" ht="15" hidden="false" customHeight="false" outlineLevel="0" collapsed="false">
      <c r="B55" s="9" t="s">
        <v>40</v>
      </c>
      <c r="C55" s="20" t="s">
        <v>206</v>
      </c>
      <c r="D55" s="14" t="n">
        <f aca="false">Inputs!$D$16</f>
        <v>0.23</v>
      </c>
      <c r="E55" s="14" t="n">
        <f aca="false">Inputs!$E$16</f>
        <v>0.235</v>
      </c>
      <c r="F55" s="14" t="n">
        <f aca="false">Inputs!$F$16</f>
        <v>0.24</v>
      </c>
      <c r="G55" s="14" t="n">
        <f aca="false">Inputs!$G$36</f>
        <v>0.243</v>
      </c>
      <c r="H55" s="14" t="n">
        <f aca="false">Inputs!$H$36</f>
        <v>0.246</v>
      </c>
      <c r="I55" s="14" t="n">
        <f aca="false">Inputs!$I$36</f>
        <v>0.248</v>
      </c>
    </row>
    <row r="56" customFormat="false" ht="15" hidden="false" customHeight="false" outlineLevel="0" collapsed="false">
      <c r="B56" s="9" t="s">
        <v>218</v>
      </c>
      <c r="C56" s="20" t="s">
        <v>78</v>
      </c>
      <c r="D56" s="15" t="n">
        <f aca="false">D47*D55</f>
        <v>87.4</v>
      </c>
      <c r="E56" s="15" t="n">
        <f aca="false">E47*E55</f>
        <v>96.35</v>
      </c>
      <c r="F56" s="15" t="n">
        <f aca="false">F47*F55</f>
        <v>105.6</v>
      </c>
      <c r="G56" s="15" t="n">
        <f aca="false">G47*G55</f>
        <v>114.532704</v>
      </c>
      <c r="H56" s="15" t="n">
        <f aca="false">H47*H55</f>
        <v>124.7992176288</v>
      </c>
      <c r="I56" s="15" t="n">
        <f aca="false">I47*I55</f>
        <v>135.419732511789</v>
      </c>
    </row>
    <row r="57" customFormat="false" ht="15" hidden="false" customHeight="false" outlineLevel="0" collapsed="false">
      <c r="B57" s="9" t="s">
        <v>219</v>
      </c>
      <c r="C57" s="20" t="s">
        <v>78</v>
      </c>
      <c r="D57" s="15" t="n">
        <f aca="false">D52+D54+D56</f>
        <v>316.59</v>
      </c>
      <c r="E57" s="15" t="n">
        <f aca="false">E52+E54+E56</f>
        <v>351.815</v>
      </c>
      <c r="F57" s="15" t="n">
        <f aca="false">F52+F54+F56</f>
        <v>385.6</v>
      </c>
      <c r="G57" s="15" t="n">
        <f aca="false">G52+G54+G56</f>
        <v>419.464464</v>
      </c>
      <c r="H57" s="15" t="n">
        <f aca="false">H52+H54+H56</f>
        <v>462.8631318308</v>
      </c>
      <c r="I57" s="15" t="n">
        <f aca="false">I52+I54+I56</f>
        <v>505.782910051095</v>
      </c>
    </row>
    <row r="58" customFormat="false" ht="15" hidden="false" customHeight="false" outlineLevel="0" collapsed="false">
      <c r="B58" s="9" t="s">
        <v>41</v>
      </c>
      <c r="C58" s="20" t="s">
        <v>78</v>
      </c>
      <c r="D58" s="15" t="n">
        <f aca="false">Inputs!$D$17</f>
        <v>44</v>
      </c>
      <c r="E58" s="15" t="n">
        <f aca="false">Inputs!$E$17</f>
        <v>46</v>
      </c>
      <c r="F58" s="15" t="n">
        <f aca="false">Inputs!$F$17</f>
        <v>48</v>
      </c>
      <c r="G58" s="15" t="n">
        <f aca="false">Inputs!$G$37</f>
        <v>50</v>
      </c>
      <c r="H58" s="15" t="n">
        <f aca="false">Inputs!$H$37</f>
        <v>52</v>
      </c>
      <c r="I58" s="15" t="n">
        <f aca="false">Inputs!$I$37</f>
        <v>54</v>
      </c>
    </row>
    <row r="59" customFormat="false" ht="15" hidden="false" customHeight="false" outlineLevel="0" collapsed="false">
      <c r="B59" s="26" t="s">
        <v>220</v>
      </c>
      <c r="C59" s="20" t="s">
        <v>78</v>
      </c>
      <c r="D59" s="27" t="n">
        <f aca="false">D57-D58</f>
        <v>272.59</v>
      </c>
      <c r="E59" s="27" t="n">
        <f aca="false">E57-E58</f>
        <v>305.815</v>
      </c>
      <c r="F59" s="27" t="n">
        <f aca="false">F57-F58</f>
        <v>337.6</v>
      </c>
      <c r="G59" s="27" t="n">
        <f aca="false">G57-G58</f>
        <v>369.464464</v>
      </c>
      <c r="H59" s="27" t="n">
        <f aca="false">H57-H58</f>
        <v>410.8631318308</v>
      </c>
      <c r="I59" s="27" t="n">
        <f aca="false">I57-I58</f>
        <v>451.782910051095</v>
      </c>
    </row>
    <row r="60" customFormat="false" ht="15" hidden="false" customHeight="false" outlineLevel="0" collapsed="false">
      <c r="B60" s="9" t="s">
        <v>221</v>
      </c>
      <c r="C60" s="20" t="s">
        <v>206</v>
      </c>
      <c r="D60" s="14" t="n">
        <f aca="false">D59/D48</f>
        <v>0.139789743589744</v>
      </c>
      <c r="E60" s="14" t="n">
        <f aca="false">E59/E48</f>
        <v>0.147026442307692</v>
      </c>
      <c r="F60" s="14" t="n">
        <f aca="false">F59/F48</f>
        <v>0.153454545454545</v>
      </c>
      <c r="G60" s="14" t="n">
        <f aca="false">G59/G48</f>
        <v>0.158885665285368</v>
      </c>
      <c r="H60" s="14" t="n">
        <f aca="false">H59/H48</f>
        <v>0.16606124858416</v>
      </c>
      <c r="I60" s="14" t="n">
        <f aca="false">I59/I48</f>
        <v>0.171494337993179</v>
      </c>
    </row>
    <row r="61" customFormat="false" ht="15" hidden="false" customHeight="false" outlineLevel="0" collapsed="false">
      <c r="B61" s="9" t="s">
        <v>222</v>
      </c>
      <c r="C61" s="20" t="s">
        <v>78</v>
      </c>
      <c r="D61" s="15" t="n">
        <f aca="false">D48*Inputs!$D$80</f>
        <v>54.6</v>
      </c>
      <c r="E61" s="15" t="n">
        <f aca="false">E48*Inputs!$D$80</f>
        <v>58.24</v>
      </c>
      <c r="F61" s="15" t="n">
        <f aca="false">F48*Inputs!$D$80</f>
        <v>61.6</v>
      </c>
      <c r="G61" s="15" t="n">
        <f aca="false">G48*Inputs!$D$80</f>
        <v>65.109744</v>
      </c>
      <c r="H61" s="15" t="n">
        <f aca="false">H48*Inputs!$D$80</f>
        <v>69.2766541824</v>
      </c>
      <c r="I61" s="15" t="n">
        <f aca="false">I48*Inputs!$D$80</f>
        <v>73.7629103646198</v>
      </c>
    </row>
    <row r="62" customFormat="false" ht="15" hidden="false" customHeight="false" outlineLevel="0" collapsed="false">
      <c r="B62" s="9" t="s">
        <v>223</v>
      </c>
      <c r="C62" s="20" t="s">
        <v>78</v>
      </c>
      <c r="D62" s="15" t="n">
        <f aca="false">D59+D61</f>
        <v>327.19</v>
      </c>
      <c r="E62" s="15" t="n">
        <f aca="false">E59+E61</f>
        <v>364.055</v>
      </c>
      <c r="F62" s="15" t="n">
        <f aca="false">F59+F61</f>
        <v>399.2</v>
      </c>
      <c r="G62" s="15" t="n">
        <f aca="false">G59+G61</f>
        <v>434.574208</v>
      </c>
      <c r="H62" s="15" t="n">
        <f aca="false">H59+H61</f>
        <v>480.1397860132</v>
      </c>
      <c r="I62" s="15" t="n">
        <f aca="false">I59+I61</f>
        <v>525.545820415715</v>
      </c>
    </row>
    <row r="63" customFormat="false" ht="15" hidden="false" customHeight="false" outlineLevel="0" collapsed="false">
      <c r="B63" s="9" t="s">
        <v>42</v>
      </c>
      <c r="C63" s="20" t="s">
        <v>78</v>
      </c>
      <c r="D63" s="15" t="n">
        <f aca="false">Inputs!$D$18</f>
        <v>38</v>
      </c>
      <c r="E63" s="15" t="n">
        <f aca="false">Inputs!$E$18</f>
        <v>38</v>
      </c>
      <c r="F63" s="15" t="n">
        <f aca="false">Inputs!$F$18</f>
        <v>38</v>
      </c>
      <c r="G63" s="15" t="n">
        <f aca="false">Inputs!$G$38</f>
        <v>38</v>
      </c>
      <c r="H63" s="15" t="n">
        <f aca="false">Inputs!$H$38</f>
        <v>36</v>
      </c>
      <c r="I63" s="15" t="n">
        <f aca="false">Inputs!$I$38</f>
        <v>34</v>
      </c>
    </row>
    <row r="64" customFormat="false" ht="15" hidden="false" customHeight="false" outlineLevel="0" collapsed="false">
      <c r="B64" s="9" t="s">
        <v>43</v>
      </c>
      <c r="C64" s="20" t="s">
        <v>78</v>
      </c>
      <c r="D64" s="15" t="n">
        <f aca="false">Inputs!$D$19</f>
        <v>0</v>
      </c>
      <c r="E64" s="15" t="n">
        <f aca="false">Inputs!$E$19</f>
        <v>15</v>
      </c>
      <c r="F64" s="15" t="n">
        <f aca="false">Inputs!$F$19</f>
        <v>22</v>
      </c>
      <c r="G64" s="15" t="n">
        <f aca="false">Inputs!$G$39</f>
        <v>12</v>
      </c>
      <c r="H64" s="15" t="n">
        <f aca="false">Inputs!$H$39</f>
        <v>0</v>
      </c>
      <c r="I64" s="15" t="n">
        <f aca="false">Inputs!$I$39</f>
        <v>0</v>
      </c>
    </row>
    <row r="65" customFormat="false" ht="15" hidden="false" customHeight="false" outlineLevel="0" collapsed="false">
      <c r="B65" s="9" t="s">
        <v>224</v>
      </c>
      <c r="C65" s="20" t="s">
        <v>78</v>
      </c>
      <c r="D65" s="15" t="n">
        <f aca="false">D59-D63-D64</f>
        <v>234.59</v>
      </c>
      <c r="E65" s="15" t="n">
        <f aca="false">E59-E63-E64</f>
        <v>252.815</v>
      </c>
      <c r="F65" s="15" t="n">
        <f aca="false">F59-F63-F64</f>
        <v>277.6</v>
      </c>
      <c r="G65" s="15" t="n">
        <f aca="false">G59-G63-G64</f>
        <v>319.464464</v>
      </c>
      <c r="H65" s="15" t="n">
        <f aca="false">H59-H63-H64</f>
        <v>374.8631318308</v>
      </c>
      <c r="I65" s="15" t="n">
        <f aca="false">I59-I63-I64</f>
        <v>417.782910051095</v>
      </c>
    </row>
    <row r="66" customFormat="false" ht="15" hidden="false" customHeight="false" outlineLevel="0" collapsed="false">
      <c r="B66" s="18" t="s">
        <v>225</v>
      </c>
      <c r="C66" s="19"/>
      <c r="D66" s="19"/>
      <c r="E66" s="19"/>
      <c r="F66" s="19"/>
      <c r="G66" s="19"/>
      <c r="H66" s="19"/>
      <c r="I66" s="19"/>
    </row>
    <row r="67" customFormat="false" ht="15" hidden="false" customHeight="false" outlineLevel="0" collapsed="false">
      <c r="B67" s="9" t="s">
        <v>226</v>
      </c>
      <c r="C67" s="20" t="s">
        <v>78</v>
      </c>
      <c r="D67" s="15" t="n">
        <f aca="false">Inputs!$D$20</f>
        <v>58</v>
      </c>
      <c r="E67" s="15" t="n">
        <f aca="false">Inputs!$E$20</f>
        <v>55</v>
      </c>
      <c r="F67" s="15" t="n">
        <f aca="false">Inputs!$F$20</f>
        <v>52</v>
      </c>
      <c r="G67" s="15" t="n">
        <f aca="false">F90*Inputs!$D$83</f>
        <v>55</v>
      </c>
      <c r="H67" s="15" t="n">
        <f aca="false">G90*Inputs!$D$83</f>
        <v>50.286319736</v>
      </c>
      <c r="I67" s="15" t="n">
        <f aca="false">H90*Inputs!$D$83</f>
        <v>43.8383097017102</v>
      </c>
    </row>
    <row r="68" customFormat="false" ht="15" hidden="false" customHeight="false" outlineLevel="0" collapsed="false">
      <c r="B68" s="9" t="s">
        <v>227</v>
      </c>
      <c r="C68" s="20" t="s">
        <v>78</v>
      </c>
      <c r="D68" s="15" t="n">
        <f aca="false">D65-D67</f>
        <v>176.59</v>
      </c>
      <c r="E68" s="15" t="n">
        <f aca="false">E65-E67</f>
        <v>197.815</v>
      </c>
      <c r="F68" s="15" t="n">
        <f aca="false">F65-F67</f>
        <v>225.6</v>
      </c>
      <c r="G68" s="15" t="n">
        <f aca="false">G65-G67</f>
        <v>264.464464</v>
      </c>
      <c r="H68" s="15" t="n">
        <f aca="false">H65-H67</f>
        <v>324.5768120948</v>
      </c>
      <c r="I68" s="15" t="n">
        <f aca="false">I65-I67</f>
        <v>373.944600349385</v>
      </c>
    </row>
    <row r="69" customFormat="false" ht="15" hidden="false" customHeight="false" outlineLevel="0" collapsed="false">
      <c r="B69" s="9" t="s">
        <v>228</v>
      </c>
      <c r="C69" s="20" t="s">
        <v>78</v>
      </c>
      <c r="D69" s="15" t="n">
        <f aca="false">D68*Inputs!$D$79</f>
        <v>40.6157</v>
      </c>
      <c r="E69" s="15" t="n">
        <f aca="false">E68*Inputs!$D$79</f>
        <v>45.49745</v>
      </c>
      <c r="F69" s="15" t="n">
        <f aca="false">F68*Inputs!$D$79</f>
        <v>51.888</v>
      </c>
      <c r="G69" s="15" t="n">
        <f aca="false">G68*Inputs!$D$79</f>
        <v>60.82682672</v>
      </c>
      <c r="H69" s="15" t="n">
        <f aca="false">H68*Inputs!$D$79</f>
        <v>74.652666781804</v>
      </c>
      <c r="I69" s="15" t="n">
        <f aca="false">I68*Inputs!$D$79</f>
        <v>86.0072580803586</v>
      </c>
    </row>
    <row r="70" customFormat="false" ht="15" hidden="false" customHeight="false" outlineLevel="0" collapsed="false">
      <c r="B70" s="9" t="s">
        <v>229</v>
      </c>
      <c r="C70" s="20" t="s">
        <v>78</v>
      </c>
      <c r="D70" s="15" t="n">
        <f aca="false">D68-D69</f>
        <v>135.9743</v>
      </c>
      <c r="E70" s="15" t="n">
        <f aca="false">E68-E69</f>
        <v>152.31755</v>
      </c>
      <c r="F70" s="15" t="n">
        <f aca="false">F68-F69</f>
        <v>173.712</v>
      </c>
      <c r="G70" s="15" t="n">
        <f aca="false">G68-G69</f>
        <v>203.63763728</v>
      </c>
      <c r="H70" s="15" t="n">
        <f aca="false">H68-H69</f>
        <v>249.924145312996</v>
      </c>
      <c r="I70" s="15" t="n">
        <f aca="false">I68-I69</f>
        <v>287.937342269027</v>
      </c>
    </row>
    <row r="71" customFormat="false" ht="15" hidden="false" customHeight="false" outlineLevel="0" collapsed="false">
      <c r="B71" s="9" t="s">
        <v>230</v>
      </c>
      <c r="C71" s="20" t="s">
        <v>231</v>
      </c>
      <c r="D71" s="16" t="n">
        <f aca="false">Inputs!$D$21</f>
        <v>57</v>
      </c>
      <c r="E71" s="16" t="n">
        <f aca="false">Inputs!$E$21</f>
        <v>56.3</v>
      </c>
      <c r="F71" s="16" t="n">
        <f aca="false">Inputs!$F$21</f>
        <v>55.6</v>
      </c>
      <c r="G71" s="16" t="n">
        <f aca="false">Inputs!$G$40</f>
        <v>55</v>
      </c>
      <c r="H71" s="16" t="n">
        <f aca="false">Inputs!$H$40</f>
        <v>54.4</v>
      </c>
      <c r="I71" s="16" t="n">
        <f aca="false">Inputs!$I$40</f>
        <v>53.8</v>
      </c>
    </row>
    <row r="72" customFormat="false" ht="15" hidden="false" customHeight="false" outlineLevel="0" collapsed="false">
      <c r="B72" s="26" t="s">
        <v>232</v>
      </c>
      <c r="C72" s="20" t="s">
        <v>61</v>
      </c>
      <c r="D72" s="28" t="n">
        <f aca="false">D70/D71</f>
        <v>2.38551403508772</v>
      </c>
      <c r="E72" s="28" t="n">
        <f aca="false">E70/E71</f>
        <v>2.70546269982238</v>
      </c>
      <c r="F72" s="28" t="n">
        <f aca="false">F70/F71</f>
        <v>3.12431654676259</v>
      </c>
      <c r="G72" s="28" t="n">
        <f aca="false">G70/G71</f>
        <v>3.702502496</v>
      </c>
      <c r="H72" s="28" t="n">
        <f aca="false">H70/H71</f>
        <v>4.59419384766537</v>
      </c>
      <c r="I72" s="28" t="n">
        <f aca="false">I70/I71</f>
        <v>5.35199520946146</v>
      </c>
    </row>
    <row r="73" customFormat="false" ht="15" hidden="false" customHeight="false" outlineLevel="0" collapsed="false">
      <c r="B73" s="18" t="s">
        <v>233</v>
      </c>
      <c r="C73" s="19"/>
      <c r="D73" s="19"/>
      <c r="E73" s="19"/>
      <c r="F73" s="19"/>
      <c r="G73" s="19"/>
      <c r="H73" s="19"/>
      <c r="I73" s="19"/>
    </row>
    <row r="74" customFormat="false" ht="15" hidden="false" customHeight="false" outlineLevel="0" collapsed="false">
      <c r="B74" s="9" t="s">
        <v>234</v>
      </c>
      <c r="C74" s="20" t="s">
        <v>61</v>
      </c>
      <c r="D74" s="17" t="n">
        <f aca="false">D63*(1-Inputs!$D$79)/D71</f>
        <v>0.513333333333333</v>
      </c>
      <c r="E74" s="17" t="n">
        <f aca="false">E63*(1-Inputs!$D$79)/E71</f>
        <v>0.519715808170515</v>
      </c>
      <c r="F74" s="17" t="n">
        <f aca="false">F63*(1-Inputs!$D$79)/F71</f>
        <v>0.526258992805755</v>
      </c>
      <c r="G74" s="17" t="n">
        <f aca="false">G63*(1-Inputs!$D$79)/G71</f>
        <v>0.532</v>
      </c>
      <c r="H74" s="17" t="n">
        <f aca="false">H63*(1-Inputs!$D$79)/H71</f>
        <v>0.509558823529412</v>
      </c>
      <c r="I74" s="17" t="n">
        <f aca="false">I63*(1-Inputs!$D$79)/I71</f>
        <v>0.486617100371747</v>
      </c>
    </row>
    <row r="75" customFormat="false" ht="15" hidden="false" customHeight="false" outlineLevel="0" collapsed="false">
      <c r="B75" s="9" t="s">
        <v>235</v>
      </c>
      <c r="C75" s="20" t="s">
        <v>61</v>
      </c>
      <c r="D75" s="17" t="n">
        <f aca="false">D64*(1-Inputs!$D$79)/D71</f>
        <v>0</v>
      </c>
      <c r="E75" s="17" t="n">
        <f aca="false">E64*(1-Inputs!$D$79)/E71</f>
        <v>0.205150976909414</v>
      </c>
      <c r="F75" s="17" t="n">
        <f aca="false">F64*(1-Inputs!$D$79)/F71</f>
        <v>0.304676258992806</v>
      </c>
      <c r="G75" s="17" t="n">
        <f aca="false">G64*(1-Inputs!$D$79)/G71</f>
        <v>0.168</v>
      </c>
      <c r="H75" s="17" t="n">
        <f aca="false">H64*(1-Inputs!$D$79)/H71</f>
        <v>0</v>
      </c>
      <c r="I75" s="17" t="n">
        <f aca="false">I64*(1-Inputs!$D$79)/I71</f>
        <v>0</v>
      </c>
    </row>
    <row r="76" customFormat="false" ht="15" hidden="false" customHeight="false" outlineLevel="0" collapsed="false">
      <c r="B76" s="9" t="s">
        <v>236</v>
      </c>
      <c r="C76" s="20" t="s">
        <v>78</v>
      </c>
      <c r="D76" s="15" t="n">
        <f aca="false">(D63+D64)*(1-Inputs!$D$79)</f>
        <v>29.26</v>
      </c>
      <c r="E76" s="15" t="n">
        <f aca="false">(E63+E64)*(1-Inputs!$D$79)</f>
        <v>40.81</v>
      </c>
      <c r="F76" s="15" t="n">
        <f aca="false">(F63+F64)*(1-Inputs!$D$79)</f>
        <v>46.2</v>
      </c>
      <c r="G76" s="15" t="n">
        <f aca="false">(G63+G64)*(1-Inputs!$D$79)</f>
        <v>38.5</v>
      </c>
      <c r="H76" s="15" t="n">
        <f aca="false">(H63+H64)*(1-Inputs!$D$79)</f>
        <v>27.72</v>
      </c>
      <c r="I76" s="15" t="n">
        <f aca="false">(I63+I64)*(1-Inputs!$D$79)</f>
        <v>26.18</v>
      </c>
    </row>
    <row r="77" customFormat="false" ht="15" hidden="false" customHeight="false" outlineLevel="0" collapsed="false">
      <c r="B77" s="9" t="s">
        <v>237</v>
      </c>
      <c r="C77" s="20" t="s">
        <v>78</v>
      </c>
      <c r="D77" s="15" t="n">
        <f aca="false">D70+D76</f>
        <v>165.2343</v>
      </c>
      <c r="E77" s="15" t="n">
        <f aca="false">E70+E76</f>
        <v>193.12755</v>
      </c>
      <c r="F77" s="15" t="n">
        <f aca="false">F70+F76</f>
        <v>219.912</v>
      </c>
      <c r="G77" s="15" t="n">
        <f aca="false">G70+G76</f>
        <v>242.13763728</v>
      </c>
      <c r="H77" s="15" t="n">
        <f aca="false">H70+H76</f>
        <v>277.644145312996</v>
      </c>
      <c r="I77" s="15" t="n">
        <f aca="false">I70+I76</f>
        <v>314.117342269027</v>
      </c>
    </row>
    <row r="78" customFormat="false" ht="15" hidden="false" customHeight="false" outlineLevel="0" collapsed="false">
      <c r="B78" s="26" t="s">
        <v>238</v>
      </c>
      <c r="C78" s="20" t="s">
        <v>61</v>
      </c>
      <c r="D78" s="28" t="n">
        <f aca="false">D77/D71</f>
        <v>2.89884736842105</v>
      </c>
      <c r="E78" s="28" t="n">
        <f aca="false">E77/E71</f>
        <v>3.43032948490231</v>
      </c>
      <c r="F78" s="28" t="n">
        <f aca="false">F77/F71</f>
        <v>3.95525179856115</v>
      </c>
      <c r="G78" s="28" t="n">
        <f aca="false">G77/G71</f>
        <v>4.402502496</v>
      </c>
      <c r="H78" s="28" t="n">
        <f aca="false">H77/H71</f>
        <v>5.10375267119478</v>
      </c>
      <c r="I78" s="28" t="n">
        <f aca="false">I77/I71</f>
        <v>5.83861230983321</v>
      </c>
    </row>
    <row r="79" customFormat="false" ht="15" hidden="false" customHeight="false" outlineLevel="0" collapsed="false">
      <c r="B79" s="9" t="s">
        <v>239</v>
      </c>
      <c r="C79" s="20" t="s">
        <v>206</v>
      </c>
      <c r="D79" s="9"/>
      <c r="E79" s="14" t="n">
        <f aca="false">E78/D78-1</f>
        <v>0.183342566521791</v>
      </c>
      <c r="F79" s="14" t="n">
        <f aca="false">F78/E78-1</f>
        <v>0.153023875977264</v>
      </c>
      <c r="G79" s="14" t="n">
        <f aca="false">G78/F78-1</f>
        <v>0.113077680061115</v>
      </c>
      <c r="H79" s="14" t="n">
        <f aca="false">H78/G78-1</f>
        <v>0.159284446932606</v>
      </c>
      <c r="I79" s="14" t="n">
        <f aca="false">I78/H78-1</f>
        <v>0.143984179089619</v>
      </c>
    </row>
    <row r="80" customFormat="false" ht="15" hidden="false" customHeight="false" outlineLevel="0" collapsed="false">
      <c r="B80" s="9" t="s">
        <v>240</v>
      </c>
      <c r="C80" s="20" t="s">
        <v>206</v>
      </c>
      <c r="D80" s="14" t="n">
        <f aca="false">D78/D72-1</f>
        <v>0.215187722974121</v>
      </c>
      <c r="E80" s="14" t="n">
        <f aca="false">E78/E72-1</f>
        <v>0.267927103606906</v>
      </c>
      <c r="F80" s="14" t="n">
        <f aca="false">F78/F72-1</f>
        <v>0.265957446808511</v>
      </c>
      <c r="G80" s="14" t="n">
        <f aca="false">G78/G72-1</f>
        <v>0.18906131751599</v>
      </c>
      <c r="H80" s="14" t="n">
        <f aca="false">H78/H72-1</f>
        <v>0.110913653281817</v>
      </c>
      <c r="I80" s="14" t="n">
        <f aca="false">I78/I72-1</f>
        <v>0.0909225590320946</v>
      </c>
    </row>
    <row r="81" customFormat="false" ht="15" hidden="false" customHeight="false" outlineLevel="0" collapsed="false">
      <c r="B81" s="18" t="s">
        <v>241</v>
      </c>
      <c r="C81" s="19"/>
      <c r="D81" s="19"/>
      <c r="E81" s="19"/>
      <c r="F81" s="19"/>
      <c r="G81" s="19"/>
      <c r="H81" s="19"/>
      <c r="I81" s="19"/>
    </row>
    <row r="82" customFormat="false" ht="15" hidden="false" customHeight="false" outlineLevel="0" collapsed="false">
      <c r="B82" s="9" t="s">
        <v>242</v>
      </c>
      <c r="C82" s="20" t="s">
        <v>78</v>
      </c>
      <c r="D82" s="15" t="n">
        <f aca="false">D48*Inputs!$D$81</f>
        <v>62.4</v>
      </c>
      <c r="E82" s="15" t="n">
        <f aca="false">E48*Inputs!$D$81</f>
        <v>66.56</v>
      </c>
      <c r="F82" s="15" t="n">
        <f aca="false">F48*Inputs!$D$81</f>
        <v>70.4</v>
      </c>
      <c r="G82" s="15" t="n">
        <f aca="false">G48*Inputs!$D$81</f>
        <v>74.411136</v>
      </c>
      <c r="H82" s="15" t="n">
        <f aca="false">H48*Inputs!$D$81</f>
        <v>79.1733190656</v>
      </c>
      <c r="I82" s="15" t="n">
        <f aca="false">I48*Inputs!$D$81</f>
        <v>84.3004689881369</v>
      </c>
    </row>
    <row r="83" customFormat="false" ht="15" hidden="false" customHeight="false" outlineLevel="0" collapsed="false">
      <c r="B83" s="9" t="s">
        <v>243</v>
      </c>
      <c r="C83" s="20" t="s">
        <v>78</v>
      </c>
      <c r="D83" s="15" t="n">
        <f aca="false">(D48-(Inputs!$C$5+Inputs!$C$6+Inputs!$C$7))*Inputs!$D$82</f>
        <v>24.3</v>
      </c>
      <c r="E83" s="15" t="n">
        <f aca="false">(E48-D48)*Inputs!$D$82</f>
        <v>23.4</v>
      </c>
      <c r="F83" s="15" t="n">
        <f aca="false">(F48-E48)*Inputs!$D$82</f>
        <v>21.6</v>
      </c>
      <c r="G83" s="15" t="n">
        <f aca="false">(G48-F48)*Inputs!$D$82</f>
        <v>22.5626399999999</v>
      </c>
      <c r="H83" s="15" t="n">
        <f aca="false">(H48-G48)*Inputs!$D$82</f>
        <v>26.7872797440001</v>
      </c>
      <c r="I83" s="15" t="n">
        <f aca="false">(I48-H48)*Inputs!$D$82</f>
        <v>28.8402183142703</v>
      </c>
    </row>
    <row r="84" customFormat="false" ht="15" hidden="false" customHeight="false" outlineLevel="0" collapsed="false">
      <c r="B84" s="26" t="s">
        <v>244</v>
      </c>
      <c r="C84" s="20" t="s">
        <v>78</v>
      </c>
      <c r="D84" s="27" t="n">
        <f aca="false">D70+D61+D63-D82-D83</f>
        <v>141.8743</v>
      </c>
      <c r="E84" s="27" t="n">
        <f aca="false">E70+E61+E63-E82-E83</f>
        <v>158.59755</v>
      </c>
      <c r="F84" s="27" t="n">
        <f aca="false">F70+F61+F63-F82-F83</f>
        <v>181.312</v>
      </c>
      <c r="G84" s="27" t="n">
        <f aca="false">G70+G61+G63-G82-G83</f>
        <v>209.77360528</v>
      </c>
      <c r="H84" s="27" t="n">
        <f aca="false">H70+H61+H63-H82-H83</f>
        <v>249.240200685796</v>
      </c>
      <c r="I84" s="27" t="n">
        <f aca="false">I70+I61+I63-I82-I83</f>
        <v>282.559565331239</v>
      </c>
    </row>
    <row r="85" customFormat="false" ht="15" hidden="false" customHeight="false" outlineLevel="0" collapsed="false">
      <c r="B85" s="9" t="s">
        <v>245</v>
      </c>
      <c r="C85" s="20" t="s">
        <v>206</v>
      </c>
      <c r="D85" s="29" t="n">
        <f aca="false">D84/D77</f>
        <v>0.85862499493144</v>
      </c>
      <c r="E85" s="29" t="n">
        <f aca="false">E84/E77</f>
        <v>0.821206244267066</v>
      </c>
      <c r="F85" s="29" t="n">
        <f aca="false">F84/F77</f>
        <v>0.824475244643312</v>
      </c>
      <c r="G85" s="29" t="n">
        <f aca="false">G84/G77</f>
        <v>0.866340349383292</v>
      </c>
      <c r="H85" s="29" t="n">
        <f aca="false">H84/H77</f>
        <v>0.897696583534367</v>
      </c>
      <c r="I85" s="29" t="n">
        <f aca="false">I84/I77</f>
        <v>0.899535069570404</v>
      </c>
    </row>
    <row r="86" customFormat="false" ht="15" hidden="false" customHeight="false" outlineLevel="0" collapsed="false">
      <c r="B86" s="9" t="s">
        <v>246</v>
      </c>
      <c r="C86" s="20" t="s">
        <v>61</v>
      </c>
      <c r="D86" s="17" t="n">
        <f aca="false">D84/D71</f>
        <v>2.48902280701754</v>
      </c>
      <c r="E86" s="17" t="n">
        <f aca="false">E84/E71</f>
        <v>2.81700799289521</v>
      </c>
      <c r="F86" s="17" t="n">
        <f aca="false">F84/F71</f>
        <v>3.2610071942446</v>
      </c>
      <c r="G86" s="17" t="n">
        <f aca="false">G84/G71</f>
        <v>3.81406555054546</v>
      </c>
      <c r="H86" s="17" t="n">
        <f aca="false">H84/H71</f>
        <v>4.58162133613595</v>
      </c>
      <c r="I86" s="17" t="n">
        <f aca="false">I84/I71</f>
        <v>5.25203653032043</v>
      </c>
    </row>
    <row r="87" customFormat="false" ht="15" hidden="false" customHeight="false" outlineLevel="0" collapsed="false">
      <c r="B87" s="9" t="s">
        <v>247</v>
      </c>
      <c r="C87" s="20" t="s">
        <v>61</v>
      </c>
      <c r="D87" s="17" t="n">
        <f aca="false">Inputs!$D$22</f>
        <v>0.9</v>
      </c>
      <c r="E87" s="17" t="n">
        <f aca="false">Inputs!$E$22</f>
        <v>0.96</v>
      </c>
      <c r="F87" s="17" t="n">
        <f aca="false">Inputs!$F$22</f>
        <v>1.02</v>
      </c>
      <c r="G87" s="17" t="n">
        <f aca="false">Inputs!$G$41</f>
        <v>1.1</v>
      </c>
      <c r="H87" s="17" t="n">
        <f aca="false">Inputs!$H$41</f>
        <v>1.2</v>
      </c>
      <c r="I87" s="17" t="n">
        <f aca="false">Inputs!$I$41</f>
        <v>1.3</v>
      </c>
    </row>
    <row r="88" customFormat="false" ht="15" hidden="false" customHeight="false" outlineLevel="0" collapsed="false">
      <c r="B88" s="9" t="s">
        <v>248</v>
      </c>
      <c r="C88" s="20" t="s">
        <v>78</v>
      </c>
      <c r="D88" s="15" t="n">
        <f aca="false">D87*D71</f>
        <v>51.3</v>
      </c>
      <c r="E88" s="15" t="n">
        <f aca="false">E87*E71</f>
        <v>54.048</v>
      </c>
      <c r="F88" s="15" t="n">
        <f aca="false">F87*F71</f>
        <v>56.712</v>
      </c>
      <c r="G88" s="15" t="n">
        <f aca="false">G87*G71</f>
        <v>60.5</v>
      </c>
      <c r="H88" s="15" t="n">
        <f aca="false">H87*H71</f>
        <v>65.28</v>
      </c>
      <c r="I88" s="15" t="n">
        <f aca="false">I87*I71</f>
        <v>69.94</v>
      </c>
    </row>
    <row r="89" customFormat="false" ht="15" hidden="false" customHeight="false" outlineLevel="0" collapsed="false">
      <c r="B89" s="9" t="s">
        <v>48</v>
      </c>
      <c r="C89" s="20" t="s">
        <v>78</v>
      </c>
      <c r="D89" s="9"/>
      <c r="E89" s="9"/>
      <c r="F89" s="9"/>
      <c r="G89" s="15" t="n">
        <f aca="false">Inputs!$G$42</f>
        <v>55</v>
      </c>
      <c r="H89" s="15" t="n">
        <f aca="false">Inputs!$H$42</f>
        <v>55</v>
      </c>
      <c r="I89" s="15" t="n">
        <f aca="false">Inputs!$I$42</f>
        <v>55</v>
      </c>
    </row>
    <row r="90" customFormat="false" ht="15" hidden="false" customHeight="false" outlineLevel="0" collapsed="false">
      <c r="B90" s="26" t="s">
        <v>249</v>
      </c>
      <c r="C90" s="20" t="s">
        <v>78</v>
      </c>
      <c r="D90" s="27" t="n">
        <f aca="false">Inputs!$D$23</f>
        <v>1210</v>
      </c>
      <c r="E90" s="27" t="n">
        <f aca="false">Inputs!$E$23</f>
        <v>1160</v>
      </c>
      <c r="F90" s="27" t="n">
        <f aca="false">Inputs!$F$23</f>
        <v>1100</v>
      </c>
      <c r="G90" s="27" t="n">
        <f aca="false">F90-G84+G88+G89</f>
        <v>1005.72639472</v>
      </c>
      <c r="H90" s="27" t="n">
        <f aca="false">G90-H84+H88+H89</f>
        <v>876.766194034204</v>
      </c>
      <c r="I90" s="27" t="n">
        <f aca="false">H90-I84+I88+I89</f>
        <v>719.146628702965</v>
      </c>
    </row>
    <row r="91" customFormat="false" ht="15" hidden="false" customHeight="false" outlineLevel="0" collapsed="false">
      <c r="B91" s="9" t="s">
        <v>250</v>
      </c>
      <c r="C91" s="20" t="s">
        <v>251</v>
      </c>
      <c r="D91" s="30" t="n">
        <f aca="false">D90/D62</f>
        <v>3.69815703413918</v>
      </c>
      <c r="E91" s="30" t="n">
        <f aca="false">E90/E62</f>
        <v>3.1863317355894</v>
      </c>
      <c r="F91" s="30" t="n">
        <f aca="false">F90/F62</f>
        <v>2.75551102204409</v>
      </c>
      <c r="G91" s="30" t="n">
        <f aca="false">G90/G62</f>
        <v>2.31427999224473</v>
      </c>
      <c r="H91" s="30" t="n">
        <f aca="false">H90/H62</f>
        <v>1.82606444951034</v>
      </c>
      <c r="I91" s="30" t="n">
        <f aca="false">I90/I62</f>
        <v>1.36838045469396</v>
      </c>
    </row>
    <row r="92" customFormat="false" ht="15" hidden="false" customHeight="false" outlineLevel="0" collapsed="false">
      <c r="B92" s="9" t="s">
        <v>252</v>
      </c>
      <c r="C92" s="20" t="s">
        <v>78</v>
      </c>
      <c r="D92" s="15" t="n">
        <f aca="false">D65*(1-Inputs!$D$79)+D61+D63-D82-D83</f>
        <v>186.5343</v>
      </c>
      <c r="E92" s="15" t="n">
        <f aca="false">E65*(1-Inputs!$D$79)+E61+E63-E82-E83</f>
        <v>200.94755</v>
      </c>
      <c r="F92" s="15" t="n">
        <f aca="false">F65*(1-Inputs!$D$79)+F61+F63-F82-F83</f>
        <v>221.352</v>
      </c>
      <c r="G92" s="15" t="n">
        <f aca="false">G65*(1-Inputs!$D$79)+G61+G63-G82-G83</f>
        <v>252.12360528</v>
      </c>
      <c r="H92" s="15" t="n">
        <f aca="false">H65*(1-Inputs!$D$79)+H61+H63-H82-H83</f>
        <v>287.960666882516</v>
      </c>
      <c r="I92" s="15" t="n">
        <f aca="false">I65*(1-Inputs!$D$79)+I61+I63-I82-I83</f>
        <v>316.315063801556</v>
      </c>
    </row>
    <row r="93" customFormat="false" ht="15" hidden="false" customHeight="false" outlineLevel="0" collapsed="false">
      <c r="B93" s="18" t="s">
        <v>253</v>
      </c>
      <c r="C93" s="19"/>
      <c r="D93" s="19"/>
      <c r="E93" s="19"/>
      <c r="F93" s="19"/>
      <c r="G93" s="19"/>
      <c r="H93" s="19"/>
      <c r="I93" s="19"/>
    </row>
    <row r="94" customFormat="false" ht="15" hidden="false" customHeight="false" outlineLevel="0" collapsed="false">
      <c r="B94" s="9" t="s">
        <v>254</v>
      </c>
      <c r="C94" s="20" t="s">
        <v>206</v>
      </c>
      <c r="D94" s="9"/>
      <c r="E94" s="14" t="n">
        <f aca="false">(E52-D52)/(E39-D39)</f>
        <v>0.241555555555556</v>
      </c>
      <c r="F94" s="14" t="n">
        <f aca="false">(F52-E52)/(F39-E39)</f>
        <v>0.254</v>
      </c>
      <c r="G94" s="14" t="n">
        <f aca="false">(G52-F52)/(G39-F39)</f>
        <v>0.0273710691823895</v>
      </c>
      <c r="H94" s="14" t="n">
        <f aca="false">(H52-G52)/(H39-G39)</f>
        <v>0.303971671388103</v>
      </c>
      <c r="I94" s="14" t="n">
        <f aca="false">(I52-H52)/(I39-H39)</f>
        <v>0.24889010989011</v>
      </c>
    </row>
    <row r="95" customFormat="false" ht="15" hidden="false" customHeight="false" outlineLevel="0" collapsed="false">
      <c r="B95" s="9" t="s">
        <v>255</v>
      </c>
      <c r="C95" s="20" t="s">
        <v>206</v>
      </c>
      <c r="D95" s="9"/>
      <c r="E95" s="14" t="n">
        <f aca="false">(E54-D54)/(E43-D43)</f>
        <v>0.280090909090909</v>
      </c>
      <c r="F95" s="14" t="n">
        <f aca="false">(F54-E54)/(F43-E43)</f>
        <v>0.284454545454545</v>
      </c>
      <c r="G95" s="14" t="n">
        <f aca="false">(G54-F54)/(G43-F43)</f>
        <v>0.338942028985507</v>
      </c>
      <c r="H95" s="14" t="n">
        <f aca="false">(H54-G54)/(H43-G43)</f>
        <v>0.287895705521473</v>
      </c>
      <c r="I95" s="14" t="n">
        <f aca="false">(I54-H54)/(I43-H43)</f>
        <v>0.279349942062572</v>
      </c>
    </row>
    <row r="96" customFormat="false" ht="15" hidden="false" customHeight="false" outlineLevel="0" collapsed="false">
      <c r="B96" s="9" t="s">
        <v>256</v>
      </c>
      <c r="C96" s="20" t="s">
        <v>206</v>
      </c>
      <c r="D96" s="9"/>
      <c r="E96" s="14" t="n">
        <f aca="false">(E56-D56)/(E47-D47)</f>
        <v>0.298333333333333</v>
      </c>
      <c r="F96" s="14" t="n">
        <f aca="false">(F56-E56)/(F47-E47)</f>
        <v>0.308333333333333</v>
      </c>
      <c r="G96" s="14" t="n">
        <f aca="false">(G56-F56)/(G47-F47)</f>
        <v>0.285134831460674</v>
      </c>
      <c r="H96" s="14" t="n">
        <f aca="false">(H56-G56)/(H47-G47)</f>
        <v>0.285292730844794</v>
      </c>
      <c r="I96" s="14" t="n">
        <f aca="false">(I56-H56)/(I47-H47)</f>
        <v>0.274195153896529</v>
      </c>
    </row>
    <row r="97" customFormat="false" ht="15" hidden="false" customHeight="false" outlineLevel="0" collapsed="false">
      <c r="B97" s="9" t="s">
        <v>257</v>
      </c>
      <c r="C97" s="20" t="s">
        <v>206</v>
      </c>
      <c r="D97" s="9"/>
      <c r="E97" s="14" t="n">
        <f aca="false">(E59-D59)/(E48-D48)</f>
        <v>0.255576923076923</v>
      </c>
      <c r="F97" s="14" t="n">
        <f aca="false">(F59-E59)/(F48-E48)</f>
        <v>0.264875</v>
      </c>
      <c r="G97" s="14" t="n">
        <f aca="false">(G59-F59)/(G48-F48)</f>
        <v>0.254207996936529</v>
      </c>
      <c r="H97" s="14" t="n">
        <f aca="false">(H59-G59)/(H48-G48)</f>
        <v>0.278182789770323</v>
      </c>
      <c r="I97" s="14" t="n">
        <f aca="false">(I59-H59)/(I48-H48)</f>
        <v>0.255391966849594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J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558593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4"/>
    <col collapsed="false" customWidth="true" hidden="false" outlineLevel="0" max="3" min="3" style="0" width="9"/>
    <col collapsed="false" customWidth="true" hidden="false" outlineLevel="0" max="6" min="4" style="0" width="11"/>
    <col collapsed="false" customWidth="true" hidden="false" outlineLevel="0" max="9" min="7" style="0" width="12"/>
    <col collapsed="false" customWidth="true" hidden="false" outlineLevel="0" max="10" min="10" style="0" width="9"/>
  </cols>
  <sheetData>
    <row r="1" customFormat="false" ht="6" hidden="false" customHeight="true" outlineLevel="0" collapsed="false"/>
    <row r="2" customFormat="false" ht="17.35" hidden="false" customHeight="false" outlineLevel="0" collapsed="false">
      <c r="B2" s="5" t="s">
        <v>570</v>
      </c>
    </row>
    <row r="3" customFormat="false" ht="15" hidden="false" customHeight="false" outlineLevel="0" collapsed="false">
      <c r="B3" s="6" t="s">
        <v>571</v>
      </c>
    </row>
    <row r="4" customFormat="false" ht="19.5" hidden="false" customHeight="true" outlineLevel="0" collapsed="false">
      <c r="B4" s="7" t="s">
        <v>572</v>
      </c>
      <c r="C4" s="8" t="s">
        <v>171</v>
      </c>
      <c r="D4" s="8" t="s">
        <v>573</v>
      </c>
      <c r="E4" s="8" t="s">
        <v>574</v>
      </c>
      <c r="F4" s="8" t="s">
        <v>174</v>
      </c>
      <c r="G4" s="8" t="s">
        <v>575</v>
      </c>
      <c r="H4" s="8" t="s">
        <v>175</v>
      </c>
      <c r="I4" s="8" t="s">
        <v>576</v>
      </c>
      <c r="J4" s="8" t="s">
        <v>577</v>
      </c>
    </row>
    <row r="5" customFormat="false" ht="15" hidden="false" customHeight="false" outlineLevel="0" collapsed="false">
      <c r="B5" s="9" t="str">
        <f aca="false">Inputs!B195</f>
        <v>Stock 1</v>
      </c>
      <c r="C5" s="46" t="str">
        <f aca="false">Inputs!$C$195</f>
        <v>Buy</v>
      </c>
      <c r="D5" s="17" t="n">
        <f aca="false">Inputs!$D$195</f>
        <v>42.1</v>
      </c>
      <c r="E5" s="17" t="n">
        <f aca="false">Inputs!$E$195</f>
        <v>49.8</v>
      </c>
      <c r="F5" s="17" t="n">
        <f aca="false">Inputs!$F$195</f>
        <v>0.9</v>
      </c>
      <c r="G5" s="33" t="n">
        <f aca="false">(E5+F5)/D5-1</f>
        <v>0.204275534441805</v>
      </c>
      <c r="H5" s="33" t="n">
        <f aca="false">Inputs!$G$195</f>
        <v>0.062</v>
      </c>
      <c r="I5" s="33" t="n">
        <f aca="false">G5-H5</f>
        <v>0.142275534441805</v>
      </c>
      <c r="J5" s="46" t="str">
        <f aca="false">IF(C5="Buy",IF(I5&gt;0,"yes","no"),IF(C5="Sell",IF(I5&lt;0,"yes","no"),IF(ABS(I5)&lt;=Inputs!$D$207,"yes","no")))</f>
        <v>yes</v>
      </c>
    </row>
    <row r="6" customFormat="false" ht="15" hidden="false" customHeight="false" outlineLevel="0" collapsed="false">
      <c r="B6" s="9" t="str">
        <f aca="false">Inputs!B196</f>
        <v>Stock 2</v>
      </c>
      <c r="C6" s="46" t="str">
        <f aca="false">Inputs!$C$196</f>
        <v>Buy</v>
      </c>
      <c r="D6" s="17" t="n">
        <f aca="false">Inputs!$D$196</f>
        <v>118</v>
      </c>
      <c r="E6" s="17" t="n">
        <f aca="false">Inputs!$E$196</f>
        <v>112.4</v>
      </c>
      <c r="F6" s="17" t="n">
        <f aca="false">Inputs!$F$196</f>
        <v>2.1</v>
      </c>
      <c r="G6" s="33" t="n">
        <f aca="false">(E6+F6)/D6-1</f>
        <v>-0.0296610169491526</v>
      </c>
      <c r="H6" s="33" t="n">
        <f aca="false">Inputs!$G$196</f>
        <v>0.062</v>
      </c>
      <c r="I6" s="33" t="n">
        <f aca="false">G6-H6</f>
        <v>-0.0916610169491526</v>
      </c>
      <c r="J6" s="46" t="str">
        <f aca="false">IF(C6="Buy",IF(I6&gt;0,"yes","no"),IF(C6="Sell",IF(I6&lt;0,"yes","no"),IF(ABS(I6)&lt;=Inputs!$D$207,"yes","no")))</f>
        <v>no</v>
      </c>
    </row>
    <row r="7" customFormat="false" ht="15" hidden="false" customHeight="false" outlineLevel="0" collapsed="false">
      <c r="B7" s="9" t="str">
        <f aca="false">Inputs!B197</f>
        <v>Stock 3</v>
      </c>
      <c r="C7" s="46" t="str">
        <f aca="false">Inputs!$C$197</f>
        <v>Hold</v>
      </c>
      <c r="D7" s="17" t="n">
        <f aca="false">Inputs!$D$197</f>
        <v>65.5</v>
      </c>
      <c r="E7" s="17" t="n">
        <f aca="false">Inputs!$E$197</f>
        <v>68.2</v>
      </c>
      <c r="F7" s="17" t="n">
        <f aca="false">Inputs!$F$197</f>
        <v>1.4</v>
      </c>
      <c r="G7" s="33" t="n">
        <f aca="false">(E7+F7)/D7-1</f>
        <v>0.0625954198473284</v>
      </c>
      <c r="H7" s="33" t="n">
        <f aca="false">Inputs!$G$197</f>
        <v>0.062</v>
      </c>
      <c r="I7" s="33" t="n">
        <f aca="false">G7-H7</f>
        <v>0.000595419847328416</v>
      </c>
      <c r="J7" s="46" t="str">
        <f aca="false">IF(C7="Buy",IF(I7&gt;0,"yes","no"),IF(C7="Sell",IF(I7&lt;0,"yes","no"),IF(ABS(I7)&lt;=Inputs!$D$207,"yes","no")))</f>
        <v>yes</v>
      </c>
    </row>
    <row r="8" customFormat="false" ht="15" hidden="false" customHeight="false" outlineLevel="0" collapsed="false">
      <c r="B8" s="9" t="str">
        <f aca="false">Inputs!B198</f>
        <v>Stock 4</v>
      </c>
      <c r="C8" s="46" t="str">
        <f aca="false">Inputs!$C$198</f>
        <v>Buy</v>
      </c>
      <c r="D8" s="17" t="n">
        <f aca="false">Inputs!$D$198</f>
        <v>23.75</v>
      </c>
      <c r="E8" s="17" t="n">
        <f aca="false">Inputs!$E$198</f>
        <v>29.1</v>
      </c>
      <c r="F8" s="17" t="n">
        <f aca="false">Inputs!$F$198</f>
        <v>0</v>
      </c>
      <c r="G8" s="33" t="n">
        <f aca="false">(E8+F8)/D8-1</f>
        <v>0.225263157894737</v>
      </c>
      <c r="H8" s="33" t="n">
        <f aca="false">Inputs!$G$198</f>
        <v>0.041</v>
      </c>
      <c r="I8" s="33" t="n">
        <f aca="false">G8-H8</f>
        <v>0.184263157894737</v>
      </c>
      <c r="J8" s="46" t="str">
        <f aca="false">IF(C8="Buy",IF(I8&gt;0,"yes","no"),IF(C8="Sell",IF(I8&lt;0,"yes","no"),IF(ABS(I8)&lt;=Inputs!$D$207,"yes","no")))</f>
        <v>yes</v>
      </c>
    </row>
    <row r="9" customFormat="false" ht="15" hidden="false" customHeight="false" outlineLevel="0" collapsed="false">
      <c r="B9" s="9" t="str">
        <f aca="false">Inputs!B199</f>
        <v>Stock 5</v>
      </c>
      <c r="C9" s="46" t="str">
        <f aca="false">Inputs!$C$199</f>
        <v>Sell</v>
      </c>
      <c r="D9" s="17" t="n">
        <f aca="false">Inputs!$D$199</f>
        <v>57.2</v>
      </c>
      <c r="E9" s="17" t="n">
        <f aca="false">Inputs!$E$199</f>
        <v>51.9</v>
      </c>
      <c r="F9" s="17" t="n">
        <f aca="false">Inputs!$F$199</f>
        <v>1.6</v>
      </c>
      <c r="G9" s="33" t="n">
        <f aca="false">(E9+F9)/D9-1</f>
        <v>-0.0646853146853147</v>
      </c>
      <c r="H9" s="33" t="n">
        <f aca="false">Inputs!$G$199</f>
        <v>0.041</v>
      </c>
      <c r="I9" s="33" t="n">
        <f aca="false">G9-H9</f>
        <v>-0.105685314685315</v>
      </c>
      <c r="J9" s="46" t="str">
        <f aca="false">IF(C9="Buy",IF(I9&gt;0,"yes","no"),IF(C9="Sell",IF(I9&lt;0,"yes","no"),IF(ABS(I9)&lt;=Inputs!$D$207,"yes","no")))</f>
        <v>yes</v>
      </c>
    </row>
    <row r="10" customFormat="false" ht="15" hidden="false" customHeight="false" outlineLevel="0" collapsed="false">
      <c r="B10" s="9" t="str">
        <f aca="false">Inputs!B200</f>
        <v>Stock 6</v>
      </c>
      <c r="C10" s="46" t="str">
        <f aca="false">Inputs!$C$200</f>
        <v>Hold</v>
      </c>
      <c r="D10" s="17" t="n">
        <f aca="false">Inputs!$D$200</f>
        <v>81</v>
      </c>
      <c r="E10" s="17" t="n">
        <f aca="false">Inputs!$E$200</f>
        <v>90.5</v>
      </c>
      <c r="F10" s="17" t="n">
        <f aca="false">Inputs!$F$200</f>
        <v>1.8</v>
      </c>
      <c r="G10" s="33" t="n">
        <f aca="false">(E10+F10)/D10-1</f>
        <v>0.139506172839506</v>
      </c>
      <c r="H10" s="33" t="n">
        <f aca="false">Inputs!$G$200</f>
        <v>0.041</v>
      </c>
      <c r="I10" s="33" t="n">
        <f aca="false">G10-H10</f>
        <v>0.0985061728395062</v>
      </c>
      <c r="J10" s="46" t="str">
        <f aca="false">IF(C10="Buy",IF(I10&gt;0,"yes","no"),IF(C10="Sell",IF(I10&lt;0,"yes","no"),IF(ABS(I10)&lt;=Inputs!$D$207,"yes","no")))</f>
        <v>no</v>
      </c>
    </row>
    <row r="11" customFormat="false" ht="15" hidden="false" customHeight="false" outlineLevel="0" collapsed="false">
      <c r="B11" s="9" t="str">
        <f aca="false">Inputs!B201</f>
        <v>Stock 7</v>
      </c>
      <c r="C11" s="46" t="str">
        <f aca="false">Inputs!$C$201</f>
        <v>Buy</v>
      </c>
      <c r="D11" s="17" t="n">
        <f aca="false">Inputs!$D$201</f>
        <v>36.4</v>
      </c>
      <c r="E11" s="17" t="n">
        <f aca="false">Inputs!$E$201</f>
        <v>38.1</v>
      </c>
      <c r="F11" s="17" t="n">
        <f aca="false">Inputs!$F$201</f>
        <v>0.7</v>
      </c>
      <c r="G11" s="33" t="n">
        <f aca="false">(E11+F11)/D11-1</f>
        <v>0.0659340659340661</v>
      </c>
      <c r="H11" s="33" t="n">
        <f aca="false">Inputs!$G$201</f>
        <v>0.118</v>
      </c>
      <c r="I11" s="33" t="n">
        <f aca="false">G11-H11</f>
        <v>-0.0520659340659339</v>
      </c>
      <c r="J11" s="46" t="str">
        <f aca="false">IF(C11="Buy",IF(I11&gt;0,"yes","no"),IF(C11="Sell",IF(I11&lt;0,"yes","no"),IF(ABS(I11)&lt;=Inputs!$D$207,"yes","no")))</f>
        <v>no</v>
      </c>
    </row>
    <row r="12" customFormat="false" ht="15" hidden="false" customHeight="false" outlineLevel="0" collapsed="false">
      <c r="B12" s="9" t="str">
        <f aca="false">Inputs!B202</f>
        <v>Stock 8</v>
      </c>
      <c r="C12" s="46" t="str">
        <f aca="false">Inputs!$C$202</f>
        <v>Sell</v>
      </c>
      <c r="D12" s="17" t="n">
        <f aca="false">Inputs!$D$202</f>
        <v>94.3</v>
      </c>
      <c r="E12" s="17" t="n">
        <f aca="false">Inputs!$E$202</f>
        <v>99.7</v>
      </c>
      <c r="F12" s="17" t="n">
        <f aca="false">Inputs!$F$202</f>
        <v>2</v>
      </c>
      <c r="G12" s="33" t="n">
        <f aca="false">(E12+F12)/D12-1</f>
        <v>0.07847295864263</v>
      </c>
      <c r="H12" s="33" t="n">
        <f aca="false">Inputs!$G$202</f>
        <v>0.118</v>
      </c>
      <c r="I12" s="33" t="n">
        <f aca="false">G12-H12</f>
        <v>-0.03952704135737</v>
      </c>
      <c r="J12" s="46" t="str">
        <f aca="false">IF(C12="Buy",IF(I12&gt;0,"yes","no"),IF(C12="Sell",IF(I12&lt;0,"yes","no"),IF(ABS(I12)&lt;=Inputs!$D$207,"yes","no")))</f>
        <v>yes</v>
      </c>
    </row>
    <row r="13" customFormat="false" ht="15" hidden="false" customHeight="false" outlineLevel="0" collapsed="false">
      <c r="B13" s="9" t="str">
        <f aca="false">Inputs!B203</f>
        <v>Stock 9</v>
      </c>
      <c r="C13" s="46" t="str">
        <f aca="false">Inputs!$C$203</f>
        <v>Buy</v>
      </c>
      <c r="D13" s="17" t="n">
        <f aca="false">Inputs!$D$203</f>
        <v>71.6</v>
      </c>
      <c r="E13" s="17" t="n">
        <f aca="false">Inputs!$E$203</f>
        <v>84.9</v>
      </c>
      <c r="F13" s="17" t="n">
        <f aca="false">Inputs!$F$203</f>
        <v>1.2</v>
      </c>
      <c r="G13" s="33" t="n">
        <f aca="false">(E13+F13)/D13-1</f>
        <v>0.202513966480447</v>
      </c>
      <c r="H13" s="33" t="n">
        <f aca="false">Inputs!$G$203</f>
        <v>0.118</v>
      </c>
      <c r="I13" s="33" t="n">
        <f aca="false">G13-H13</f>
        <v>0.0845139664804472</v>
      </c>
      <c r="J13" s="46" t="str">
        <f aca="false">IF(C13="Buy",IF(I13&gt;0,"yes","no"),IF(C13="Sell",IF(I13&lt;0,"yes","no"),IF(ABS(I13)&lt;=Inputs!$D$207,"yes","no")))</f>
        <v>yes</v>
      </c>
    </row>
    <row r="14" customFormat="false" ht="15" hidden="false" customHeight="false" outlineLevel="0" collapsed="false">
      <c r="B14" s="9" t="str">
        <f aca="false">Inputs!B204</f>
        <v>Stock 10</v>
      </c>
      <c r="C14" s="46" t="str">
        <f aca="false">Inputs!$C$204</f>
        <v>Hold</v>
      </c>
      <c r="D14" s="17" t="n">
        <f aca="false">Inputs!$D$204</f>
        <v>48.9</v>
      </c>
      <c r="E14" s="17" t="n">
        <f aca="false">Inputs!$E$204</f>
        <v>47.1</v>
      </c>
      <c r="F14" s="17" t="n">
        <f aca="false">Inputs!$F$204</f>
        <v>1.1</v>
      </c>
      <c r="G14" s="33" t="n">
        <f aca="false">(E14+F14)/D14-1</f>
        <v>-0.0143149284253578</v>
      </c>
      <c r="H14" s="33" t="n">
        <f aca="false">Inputs!$G$204</f>
        <v>-0.035</v>
      </c>
      <c r="I14" s="33" t="n">
        <f aca="false">G14-H14</f>
        <v>0.0206850715746423</v>
      </c>
      <c r="J14" s="46" t="str">
        <f aca="false">IF(C14="Buy",IF(I14&gt;0,"yes","no"),IF(C14="Sell",IF(I14&lt;0,"yes","no"),IF(ABS(I14)&lt;=Inputs!$D$207,"yes","no")))</f>
        <v>yes</v>
      </c>
    </row>
    <row r="15" customFormat="false" ht="15" hidden="false" customHeight="false" outlineLevel="0" collapsed="false">
      <c r="B15" s="9" t="str">
        <f aca="false">Inputs!B205</f>
        <v>Stock 11</v>
      </c>
      <c r="C15" s="46" t="str">
        <f aca="false">Inputs!$C$205</f>
        <v>Buy</v>
      </c>
      <c r="D15" s="17" t="n">
        <f aca="false">Inputs!$D$205</f>
        <v>15.2</v>
      </c>
      <c r="E15" s="17" t="n">
        <f aca="false">Inputs!$E$205</f>
        <v>13.1</v>
      </c>
      <c r="F15" s="17" t="n">
        <f aca="false">Inputs!$F$205</f>
        <v>0</v>
      </c>
      <c r="G15" s="33" t="n">
        <f aca="false">(E15+F15)/D15-1</f>
        <v>-0.138157894736842</v>
      </c>
      <c r="H15" s="33" t="n">
        <f aca="false">Inputs!$G$205</f>
        <v>-0.035</v>
      </c>
      <c r="I15" s="33" t="n">
        <f aca="false">G15-H15</f>
        <v>-0.103157894736842</v>
      </c>
      <c r="J15" s="46" t="str">
        <f aca="false">IF(C15="Buy",IF(I15&gt;0,"yes","no"),IF(C15="Sell",IF(I15&lt;0,"yes","no"),IF(ABS(I15)&lt;=Inputs!$D$207,"yes","no")))</f>
        <v>no</v>
      </c>
    </row>
    <row r="16" customFormat="false" ht="15" hidden="false" customHeight="false" outlineLevel="0" collapsed="false">
      <c r="B16" s="9" t="str">
        <f aca="false">Inputs!B206</f>
        <v>Stock 12</v>
      </c>
      <c r="C16" s="46" t="str">
        <f aca="false">Inputs!$C$206</f>
        <v>Buy</v>
      </c>
      <c r="D16" s="17" t="n">
        <f aca="false">Inputs!$D$206</f>
        <v>102.5</v>
      </c>
      <c r="E16" s="17" t="n">
        <f aca="false">Inputs!$E$206</f>
        <v>101.3</v>
      </c>
      <c r="F16" s="17" t="n">
        <f aca="false">Inputs!$F$206</f>
        <v>2.6</v>
      </c>
      <c r="G16" s="33" t="n">
        <f aca="false">(E16+F16)/D16-1</f>
        <v>0.0136585365853659</v>
      </c>
      <c r="H16" s="33" t="n">
        <f aca="false">Inputs!$G$206</f>
        <v>-0.035</v>
      </c>
      <c r="I16" s="33" t="n">
        <f aca="false">G16-H16</f>
        <v>0.0486585365853659</v>
      </c>
      <c r="J16" s="46" t="str">
        <f aca="false">IF(C16="Buy",IF(I16&gt;0,"yes","no"),IF(C16="Sell",IF(I16&lt;0,"yes","no"),IF(ABS(I16)&lt;=Inputs!$D$207,"yes","no")))</f>
        <v>yes</v>
      </c>
    </row>
    <row r="18" customFormat="false" ht="15" hidden="false" customHeight="false" outlineLevel="0" collapsed="false">
      <c r="B18" s="9" t="s">
        <v>578</v>
      </c>
      <c r="C18" s="9"/>
      <c r="D18" s="9"/>
      <c r="E18" s="9"/>
      <c r="F18" s="9"/>
      <c r="G18" s="39" t="n">
        <f aca="false">COUNTA(C5:C16)</f>
        <v>12</v>
      </c>
    </row>
    <row r="19" customFormat="false" ht="15" hidden="false" customHeight="false" outlineLevel="0" collapsed="false">
      <c r="B19" s="9" t="s">
        <v>579</v>
      </c>
      <c r="C19" s="9"/>
      <c r="D19" s="9"/>
      <c r="E19" s="9"/>
      <c r="F19" s="9"/>
      <c r="G19" s="39" t="n">
        <f aca="false">COUNTIF(J5:J16,"yes")</f>
        <v>8</v>
      </c>
    </row>
    <row r="20" customFormat="false" ht="15" hidden="false" customHeight="false" outlineLevel="0" collapsed="false">
      <c r="B20" s="9" t="s">
        <v>580</v>
      </c>
      <c r="C20" s="9"/>
      <c r="D20" s="9"/>
      <c r="E20" s="9"/>
      <c r="F20" s="9"/>
      <c r="G20" s="14" t="n">
        <f aca="false">G19/G18</f>
        <v>0.666666666666667</v>
      </c>
    </row>
    <row r="21" customFormat="false" ht="15" hidden="false" customHeight="false" outlineLevel="0" collapsed="false">
      <c r="B21" s="9" t="s">
        <v>581</v>
      </c>
      <c r="C21" s="9"/>
      <c r="D21" s="9"/>
      <c r="E21" s="9"/>
      <c r="F21" s="9"/>
      <c r="G21" s="39" t="n">
        <f aca="false">COUNTIF(C5:C16,"Buy")</f>
        <v>7</v>
      </c>
    </row>
    <row r="22" customFormat="false" ht="15" hidden="false" customHeight="false" outlineLevel="0" collapsed="false">
      <c r="B22" s="9" t="s">
        <v>582</v>
      </c>
      <c r="C22" s="9"/>
      <c r="D22" s="9"/>
      <c r="E22" s="9"/>
      <c r="F22" s="9"/>
      <c r="G22" s="39" t="n">
        <f aca="false">COUNTIFS(C5:C16,"Buy",J5:J16,"yes")</f>
        <v>4</v>
      </c>
    </row>
    <row r="23" customFormat="false" ht="15" hidden="false" customHeight="false" outlineLevel="0" collapsed="false">
      <c r="B23" s="9" t="s">
        <v>583</v>
      </c>
      <c r="C23" s="9"/>
      <c r="D23" s="9"/>
      <c r="E23" s="9"/>
      <c r="F23" s="9"/>
      <c r="G23" s="33" t="n">
        <f aca="false">AVERAGEIF(C5:C16,"Buy",I5:I16)</f>
        <v>0.0304037642357752</v>
      </c>
    </row>
    <row r="24" customFormat="false" ht="15" hidden="false" customHeight="false" outlineLevel="0" collapsed="false">
      <c r="B24" s="9" t="s">
        <v>584</v>
      </c>
      <c r="C24" s="9"/>
      <c r="D24" s="9"/>
      <c r="E24" s="9"/>
      <c r="F24" s="9"/>
      <c r="G24" s="39" t="n">
        <f aca="false">COUNTIF(C5:C16,"Sell")</f>
        <v>2</v>
      </c>
    </row>
    <row r="25" customFormat="false" ht="15" hidden="false" customHeight="false" outlineLevel="0" collapsed="false">
      <c r="B25" s="9" t="s">
        <v>585</v>
      </c>
      <c r="C25" s="9"/>
      <c r="D25" s="9"/>
      <c r="E25" s="9"/>
      <c r="F25" s="9"/>
      <c r="G25" s="39" t="n">
        <f aca="false">COUNTIFS(C5:C16,"Sell",J5:J16,"yes")</f>
        <v>2</v>
      </c>
    </row>
    <row r="26" customFormat="false" ht="15" hidden="false" customHeight="false" outlineLevel="0" collapsed="false">
      <c r="B26" s="9" t="s">
        <v>586</v>
      </c>
      <c r="C26" s="9"/>
      <c r="D26" s="9"/>
      <c r="E26" s="9"/>
      <c r="F26" s="9"/>
      <c r="G26" s="33" t="n">
        <f aca="false">AVERAGEIF(C5:C16,"Sell",I5:I16)</f>
        <v>-0.0726061780213423</v>
      </c>
    </row>
    <row r="27" customFormat="false" ht="15" hidden="false" customHeight="false" outlineLevel="0" collapsed="false">
      <c r="B27" s="9" t="s">
        <v>587</v>
      </c>
      <c r="C27" s="9"/>
      <c r="D27" s="9"/>
      <c r="E27" s="9"/>
      <c r="F27" s="9"/>
      <c r="G27" s="39" t="n">
        <f aca="false">COUNTIF(C5:C16,"Hold")</f>
        <v>3</v>
      </c>
    </row>
    <row r="28" customFormat="false" ht="15" hidden="false" customHeight="false" outlineLevel="0" collapsed="false">
      <c r="B28" s="9" t="s">
        <v>588</v>
      </c>
      <c r="C28" s="9"/>
      <c r="D28" s="9"/>
      <c r="E28" s="9"/>
      <c r="F28" s="9"/>
      <c r="G28" s="39" t="n">
        <f aca="false">COUNTIFS(C5:C16,"Hold",J5:J16,"yes")</f>
        <v>2</v>
      </c>
    </row>
    <row r="29" customFormat="false" ht="15" hidden="false" customHeight="false" outlineLevel="0" collapsed="false">
      <c r="B29" s="9" t="s">
        <v>589</v>
      </c>
      <c r="C29" s="9"/>
      <c r="D29" s="9"/>
      <c r="E29" s="9"/>
      <c r="F29" s="9"/>
      <c r="G29" s="33" t="n">
        <f aca="false">AVERAGEIF(C5:C16,"Hold",I5:I16)</f>
        <v>0.0399288880871589</v>
      </c>
    </row>
    <row r="30" customFormat="false" ht="15" hidden="false" customHeight="false" outlineLevel="0" collapsed="false">
      <c r="B30" s="9" t="s">
        <v>590</v>
      </c>
      <c r="C30" s="9"/>
      <c r="D30" s="9"/>
      <c r="E30" s="9"/>
      <c r="F30" s="9"/>
      <c r="G30" s="14" t="n">
        <f aca="false">$G$23-$G$26</f>
        <v>0.103009942257118</v>
      </c>
    </row>
    <row r="31" customFormat="false" ht="15" hidden="false" customHeight="false" outlineLevel="0" collapsed="false">
      <c r="B31" s="9" t="s">
        <v>591</v>
      </c>
      <c r="C31" s="9"/>
      <c r="D31" s="9"/>
      <c r="E31" s="9"/>
      <c r="F31" s="9"/>
      <c r="G31" s="14" t="n">
        <f aca="false">(SUMIF(C5:C16,"Buy",I5:I16)-SUMIF(C5:C16,"Sell",I5:I16))/($G$21+$G$24)</f>
        <v>0.0397820784103457</v>
      </c>
    </row>
  </sheetData>
  <mergeCells count="14"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58593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0"/>
    <col collapsed="false" customWidth="true" hidden="false" outlineLevel="0" max="3" min="3" style="0" width="6"/>
    <col collapsed="false" customWidth="true" hidden="false" outlineLevel="0" max="4" min="4" style="0" width="12"/>
  </cols>
  <sheetData>
    <row r="1" customFormat="false" ht="6" hidden="false" customHeight="true" outlineLevel="0" collapsed="false"/>
    <row r="2" customFormat="false" ht="17.35" hidden="false" customHeight="false" outlineLevel="0" collapsed="false">
      <c r="B2" s="5" t="s">
        <v>592</v>
      </c>
    </row>
    <row r="3" customFormat="false" ht="15" hidden="false" customHeight="false" outlineLevel="0" collapsed="false">
      <c r="B3" s="6" t="s">
        <v>593</v>
      </c>
    </row>
    <row r="4" customFormat="false" ht="15" hidden="false" customHeight="false" outlineLevel="0" collapsed="false">
      <c r="B4" s="9" t="s">
        <v>594</v>
      </c>
      <c r="D4" s="17" t="n">
        <f aca="false">Scenarios!$D$8</f>
        <v>69.3843219580371</v>
      </c>
    </row>
    <row r="5" customFormat="false" ht="15" hidden="false" customHeight="false" outlineLevel="0" collapsed="false">
      <c r="B5" s="9" t="s">
        <v>298</v>
      </c>
      <c r="D5" s="17" t="n">
        <f aca="false">Inputs!$D$86</f>
        <v>86.2</v>
      </c>
    </row>
    <row r="6" customFormat="false" ht="15" hidden="false" customHeight="false" outlineLevel="0" collapsed="false">
      <c r="B6" s="9" t="s">
        <v>595</v>
      </c>
      <c r="D6" s="33" t="n">
        <f aca="false">D4/D5-1</f>
        <v>-0.195077471484489</v>
      </c>
    </row>
    <row r="7" customFormat="false" ht="15" hidden="false" customHeight="false" outlineLevel="0" collapsed="false">
      <c r="B7" s="9" t="s">
        <v>596</v>
      </c>
      <c r="D7" s="14" t="n">
        <f aca="false">Inputs!$D$218</f>
        <v>0.005</v>
      </c>
    </row>
    <row r="8" customFormat="false" ht="15" hidden="false" customHeight="false" outlineLevel="0" collapsed="false">
      <c r="B8" s="9" t="s">
        <v>201</v>
      </c>
      <c r="D8" s="29" t="n">
        <f aca="false">Inputs!$D$219</f>
        <v>0.04</v>
      </c>
    </row>
    <row r="9" customFormat="false" ht="15" hidden="false" customHeight="false" outlineLevel="0" collapsed="false">
      <c r="B9" s="26" t="s">
        <v>597</v>
      </c>
      <c r="D9" s="41" t="n">
        <f aca="false">MIN(D8,D7/-D6)</f>
        <v>0.0256308427721115</v>
      </c>
    </row>
    <row r="10" customFormat="false" ht="15" hidden="false" customHeight="false" outlineLevel="0" collapsed="false">
      <c r="B10" s="9" t="s">
        <v>598</v>
      </c>
      <c r="D10" s="33" t="n">
        <f aca="false">Scenarios!$D$14</f>
        <v>0.154744350780084</v>
      </c>
    </row>
    <row r="11" customFormat="false" ht="15" hidden="false" customHeight="false" outlineLevel="0" collapsed="false">
      <c r="B11" s="9" t="s">
        <v>599</v>
      </c>
      <c r="D11" s="34" t="n">
        <f aca="false">Scenarios!$D$15</f>
        <v>2.39366003549553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1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58593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9"/>
    <col collapsed="false" customWidth="true" hidden="false" outlineLevel="0" max="3" min="3" style="0" width="84"/>
    <col collapsed="false" customWidth="true" hidden="false" outlineLevel="0" max="4" min="4" style="0" width="14"/>
  </cols>
  <sheetData>
    <row r="1" customFormat="false" ht="6" hidden="false" customHeight="true" outlineLevel="0" collapsed="false"/>
    <row r="2" customFormat="false" ht="17.35" hidden="false" customHeight="false" outlineLevel="0" collapsed="false">
      <c r="B2" s="5" t="s">
        <v>600</v>
      </c>
    </row>
    <row r="3" customFormat="false" ht="15" hidden="false" customHeight="false" outlineLevel="0" collapsed="false">
      <c r="B3" s="6" t="s">
        <v>601</v>
      </c>
    </row>
    <row r="4" customFormat="false" ht="15" hidden="false" customHeight="false" outlineLevel="0" collapsed="false">
      <c r="B4" s="6" t="s">
        <v>602</v>
      </c>
    </row>
    <row r="5" customFormat="false" ht="21.75" hidden="false" customHeight="true" outlineLevel="0" collapsed="false">
      <c r="B5" s="7" t="s">
        <v>603</v>
      </c>
      <c r="C5" s="8" t="s">
        <v>604</v>
      </c>
      <c r="D5" s="8" t="s">
        <v>605</v>
      </c>
    </row>
    <row r="6" customFormat="false" ht="15" hidden="false" customHeight="false" outlineLevel="0" collapsed="false">
      <c r="B6" s="46" t="s">
        <v>606</v>
      </c>
      <c r="C6" s="9" t="s">
        <v>607</v>
      </c>
      <c r="D6" s="55" t="n">
        <f aca="false">1+Model!$F$6</f>
        <v>1.00708103855232</v>
      </c>
    </row>
    <row r="7" customFormat="false" ht="15" hidden="false" customHeight="false" outlineLevel="0" collapsed="false">
      <c r="B7" s="46" t="s">
        <v>606</v>
      </c>
      <c r="C7" s="9" t="s">
        <v>608</v>
      </c>
      <c r="D7" s="56" t="n">
        <f aca="false">1+Model!$F$7</f>
        <v>1.025</v>
      </c>
    </row>
    <row r="8" customFormat="false" ht="15" hidden="false" customHeight="false" outlineLevel="0" collapsed="false">
      <c r="B8" s="46" t="s">
        <v>606</v>
      </c>
      <c r="C8" s="9" t="s">
        <v>609</v>
      </c>
      <c r="D8" s="56" t="n">
        <f aca="false">$D$6*$D$7</f>
        <v>1.03225806451613</v>
      </c>
    </row>
    <row r="9" customFormat="false" ht="15" hidden="false" customHeight="false" outlineLevel="0" collapsed="false">
      <c r="B9" s="46" t="s">
        <v>606</v>
      </c>
      <c r="C9" s="9" t="s">
        <v>610</v>
      </c>
      <c r="D9" s="57" t="n">
        <f aca="false">Inputs!$C$5+Inputs!$C$6+Inputs!$C$7</f>
        <v>1815</v>
      </c>
    </row>
    <row r="10" customFormat="false" ht="15" hidden="false" customHeight="false" outlineLevel="0" collapsed="false">
      <c r="B10" s="46" t="s">
        <v>606</v>
      </c>
      <c r="C10" s="9" t="s">
        <v>611</v>
      </c>
      <c r="D10" s="55" t="n">
        <f aca="false">1+Model!$E$6</f>
        <v>1.01288274831964</v>
      </c>
    </row>
    <row r="11" customFormat="false" ht="15" hidden="false" customHeight="false" outlineLevel="0" collapsed="false">
      <c r="B11" s="46" t="s">
        <v>606</v>
      </c>
      <c r="C11" s="9" t="s">
        <v>612</v>
      </c>
      <c r="D11" s="56" t="n">
        <f aca="false">1+Model!$D$7</f>
        <v>1.045</v>
      </c>
    </row>
    <row r="12" customFormat="false" ht="15" hidden="false" customHeight="false" outlineLevel="0" collapsed="false">
      <c r="B12" s="46" t="s">
        <v>606</v>
      </c>
      <c r="C12" s="9" t="s">
        <v>613</v>
      </c>
      <c r="D12" s="55" t="n">
        <f aca="false">1+Model!$D$6</f>
        <v>1.01037087411653</v>
      </c>
    </row>
    <row r="13" customFormat="false" ht="15" hidden="false" customHeight="false" outlineLevel="0" collapsed="false">
      <c r="B13" s="46" t="s">
        <v>606</v>
      </c>
      <c r="C13" s="9" t="s">
        <v>614</v>
      </c>
      <c r="D13" s="14" t="n">
        <f aca="false">(1+ROUND(Model!$D$6,3))*(1+Model!$D$7)-1</f>
        <v>0.05545</v>
      </c>
    </row>
    <row r="14" customFormat="false" ht="15" hidden="false" customHeight="false" outlineLevel="0" collapsed="false">
      <c r="B14" s="46" t="s">
        <v>606</v>
      </c>
      <c r="C14" s="9" t="s">
        <v>615</v>
      </c>
      <c r="D14" s="14" t="n">
        <f aca="false">(1+Model!$D$10)*(1+Model!$E$10)*(1+Model!$F$10)-1</f>
        <v>0.219432169885803</v>
      </c>
    </row>
    <row r="15" customFormat="false" ht="15" hidden="false" customHeight="false" outlineLevel="0" collapsed="false">
      <c r="B15" s="46" t="s">
        <v>606</v>
      </c>
      <c r="C15" s="9" t="s">
        <v>616</v>
      </c>
      <c r="D15" s="14" t="n">
        <f aca="false">(Model!$F$24-Model!$D$24)/(Model!$F$27-Model!$D$27)</f>
        <v>0.449934792059122</v>
      </c>
    </row>
    <row r="16" customFormat="false" ht="15" hidden="false" customHeight="false" outlineLevel="0" collapsed="false">
      <c r="B16" s="46" t="s">
        <v>606</v>
      </c>
      <c r="C16" s="9" t="s">
        <v>617</v>
      </c>
      <c r="D16" s="14" t="n">
        <f aca="false">Model!$D$13/Model!$D$18</f>
        <v>0.271794871794872</v>
      </c>
    </row>
    <row r="17" customFormat="false" ht="15" hidden="false" customHeight="false" outlineLevel="0" collapsed="false">
      <c r="B17" s="46" t="s">
        <v>606</v>
      </c>
      <c r="C17" s="9" t="s">
        <v>618</v>
      </c>
      <c r="D17" s="57" t="n">
        <f aca="false">Model!$F$22-Model!$D$22</f>
        <v>19.76</v>
      </c>
    </row>
    <row r="18" customFormat="false" ht="15" hidden="false" customHeight="false" outlineLevel="0" collapsed="false">
      <c r="B18" s="46" t="s">
        <v>619</v>
      </c>
      <c r="C18" s="9" t="s">
        <v>620</v>
      </c>
      <c r="D18" s="56" t="n">
        <f aca="false">1+Model!$G$7</f>
        <v>1.025</v>
      </c>
    </row>
    <row r="19" customFormat="false" ht="15" hidden="false" customHeight="false" outlineLevel="0" collapsed="false">
      <c r="B19" s="46" t="s">
        <v>619</v>
      </c>
      <c r="C19" s="9" t="s">
        <v>621</v>
      </c>
      <c r="D19" s="58" t="n">
        <f aca="false">(1+Model!$G$6)*$D$18</f>
        <v>1.03525</v>
      </c>
    </row>
    <row r="20" customFormat="false" ht="15" hidden="false" customHeight="false" outlineLevel="0" collapsed="false">
      <c r="B20" s="46" t="s">
        <v>619</v>
      </c>
      <c r="C20" s="9" t="s">
        <v>622</v>
      </c>
      <c r="D20" s="56" t="n">
        <f aca="false">1+Model!$G$11</f>
        <v>1.025</v>
      </c>
    </row>
    <row r="21" customFormat="false" ht="15" hidden="false" customHeight="false" outlineLevel="0" collapsed="false">
      <c r="B21" s="46" t="s">
        <v>619</v>
      </c>
      <c r="C21" s="9" t="s">
        <v>623</v>
      </c>
      <c r="D21" s="55" t="n">
        <f aca="false">Model!$G$12-(Model!$G$10+Model!$G$11)</f>
        <v>0.00150000000000003</v>
      </c>
    </row>
    <row r="22" customFormat="false" ht="15" hidden="false" customHeight="false" outlineLevel="0" collapsed="false">
      <c r="B22" s="46" t="s">
        <v>624</v>
      </c>
      <c r="C22" s="9" t="s">
        <v>625</v>
      </c>
      <c r="D22" s="57" t="n">
        <f aca="false">Model!$G$18-Model!$F$18</f>
        <v>126.168</v>
      </c>
    </row>
    <row r="23" customFormat="false" ht="15" hidden="false" customHeight="false" outlineLevel="0" collapsed="false">
      <c r="B23" s="46" t="s">
        <v>624</v>
      </c>
      <c r="C23" s="9" t="s">
        <v>626</v>
      </c>
      <c r="D23" s="57" t="n">
        <f aca="false">Model!$G$9-Model!$F$9</f>
        <v>39.48</v>
      </c>
    </row>
    <row r="24" customFormat="false" ht="15" hidden="false" customHeight="false" outlineLevel="0" collapsed="false">
      <c r="B24" s="46" t="s">
        <v>624</v>
      </c>
      <c r="C24" s="9" t="s">
        <v>627</v>
      </c>
      <c r="D24" s="57" t="n">
        <f aca="false">Model!$G$13-Model!$F$13</f>
        <v>55.36</v>
      </c>
    </row>
    <row r="25" customFormat="false" ht="15" hidden="false" customHeight="false" outlineLevel="0" collapsed="false">
      <c r="B25" s="46" t="s">
        <v>624</v>
      </c>
      <c r="C25" s="9" t="s">
        <v>628</v>
      </c>
      <c r="D25" s="57" t="n">
        <f aca="false">Model!$I$13*Model!$F$23</f>
        <v>172.34889748272</v>
      </c>
    </row>
    <row r="26" customFormat="false" ht="15" hidden="false" customHeight="false" outlineLevel="0" collapsed="false">
      <c r="B26" s="46" t="s">
        <v>624</v>
      </c>
      <c r="C26" s="9" t="s">
        <v>629</v>
      </c>
      <c r="D26" s="57" t="n">
        <f aca="false">Model!$I$9*Model!$F$21+$D$25+Model!$I$17*Model!$F$25</f>
        <v>467.357640984067</v>
      </c>
    </row>
    <row r="27" customFormat="false" ht="15" hidden="false" customHeight="false" outlineLevel="0" collapsed="false">
      <c r="B27" s="46" t="s">
        <v>624</v>
      </c>
      <c r="C27" s="9" t="s">
        <v>630</v>
      </c>
      <c r="D27" s="14" t="n">
        <f aca="false">Model!$H$32/Model!$H$18</f>
        <v>0.192859829920591</v>
      </c>
    </row>
    <row r="28" customFormat="false" ht="15" hidden="false" customHeight="false" outlineLevel="0" collapsed="false">
      <c r="B28" s="46" t="s">
        <v>631</v>
      </c>
      <c r="C28" s="9" t="s">
        <v>632</v>
      </c>
      <c r="D28" s="34" t="n">
        <f aca="false">1-Inputs!$D$79</f>
        <v>0.77</v>
      </c>
    </row>
    <row r="29" customFormat="false" ht="15" hidden="false" customHeight="false" outlineLevel="0" collapsed="false">
      <c r="B29" s="46" t="s">
        <v>631</v>
      </c>
      <c r="C29" s="9" t="s">
        <v>633</v>
      </c>
      <c r="D29" s="14" t="n">
        <f aca="false">Model!$I$29/Model!$F$29-1</f>
        <v>0.32331844504203</v>
      </c>
    </row>
    <row r="30" customFormat="false" ht="15" hidden="false" customHeight="false" outlineLevel="0" collapsed="false">
      <c r="B30" s="46" t="s">
        <v>631</v>
      </c>
      <c r="C30" s="9" t="s">
        <v>634</v>
      </c>
      <c r="D30" s="56" t="n">
        <f aca="false">Model!$I$47/Model!$F$47</f>
        <v>1.41033468581616</v>
      </c>
    </row>
    <row r="31" customFormat="false" ht="15" hidden="false" customHeight="false" outlineLevel="0" collapsed="false">
      <c r="B31" s="46" t="s">
        <v>631</v>
      </c>
      <c r="C31" s="9" t="s">
        <v>635</v>
      </c>
      <c r="D31" s="56" t="n">
        <f aca="false">Model!$I$41/Model!$F$41</f>
        <v>0.967625899280576</v>
      </c>
    </row>
    <row r="32" customFormat="false" ht="15" hidden="false" customHeight="false" outlineLevel="0" collapsed="false">
      <c r="B32" s="46" t="s">
        <v>631</v>
      </c>
      <c r="C32" s="9" t="s">
        <v>636</v>
      </c>
      <c r="D32" s="56" t="n">
        <f aca="false">ROUND($D$30,3)/ROUND($D$31,3)</f>
        <v>1.45661157024793</v>
      </c>
    </row>
    <row r="33" customFormat="false" ht="15" hidden="false" customHeight="false" outlineLevel="0" collapsed="false">
      <c r="B33" s="46" t="s">
        <v>631</v>
      </c>
      <c r="C33" s="9" t="s">
        <v>637</v>
      </c>
      <c r="D33" s="56" t="n">
        <f aca="false">ROUND(Model!$I$48,2)/ROUND(Model!$F$48,2)</f>
        <v>1.45454545454545</v>
      </c>
    </row>
    <row r="34" customFormat="false" ht="15" hidden="false" customHeight="false" outlineLevel="0" collapsed="false">
      <c r="B34" s="46" t="s">
        <v>638</v>
      </c>
      <c r="C34" s="9" t="s">
        <v>632</v>
      </c>
      <c r="D34" s="34" t="n">
        <f aca="false">1-Inputs!$D$79</f>
        <v>0.77</v>
      </c>
    </row>
    <row r="35" customFormat="false" ht="15" hidden="false" customHeight="false" outlineLevel="0" collapsed="false">
      <c r="B35" s="46" t="s">
        <v>638</v>
      </c>
      <c r="C35" s="9" t="s">
        <v>639</v>
      </c>
      <c r="D35" s="57" t="n">
        <f aca="false">Model!$F$34*$D$34</f>
        <v>16.94</v>
      </c>
    </row>
    <row r="36" customFormat="false" ht="15" hidden="false" customHeight="false" outlineLevel="0" collapsed="false">
      <c r="B36" s="46" t="s">
        <v>640</v>
      </c>
      <c r="C36" s="9" t="s">
        <v>641</v>
      </c>
      <c r="D36" s="57" t="n">
        <f aca="false">Model!$F$47-Model!$F$54</f>
        <v>38.6</v>
      </c>
    </row>
    <row r="37" customFormat="false" ht="15" hidden="false" customHeight="false" outlineLevel="0" collapsed="false">
      <c r="B37" s="46" t="s">
        <v>640</v>
      </c>
      <c r="C37" s="9" t="s">
        <v>639</v>
      </c>
      <c r="D37" s="57" t="n">
        <f aca="false">Model!$F$34*(1-Inputs!$D$79)</f>
        <v>16.94</v>
      </c>
    </row>
    <row r="38" customFormat="false" ht="15" hidden="false" customHeight="false" outlineLevel="0" collapsed="false">
      <c r="B38" s="46" t="s">
        <v>640</v>
      </c>
      <c r="C38" s="9" t="s">
        <v>642</v>
      </c>
      <c r="D38" s="57" t="n">
        <f aca="false">Model!$G$18-Model!$F$18</f>
        <v>126.168</v>
      </c>
    </row>
    <row r="39" customFormat="false" ht="15" hidden="false" customHeight="false" outlineLevel="0" collapsed="false">
      <c r="B39" s="46" t="s">
        <v>640</v>
      </c>
      <c r="C39" s="9" t="s">
        <v>643</v>
      </c>
      <c r="D39" s="59" t="n">
        <f aca="false">100*ROUND(Model!$G$67,2)*(1-Inputs!$D$79)</f>
        <v>19.25</v>
      </c>
    </row>
    <row r="40" customFormat="false" ht="15" hidden="false" customHeight="false" outlineLevel="0" collapsed="false">
      <c r="B40" s="46" t="s">
        <v>640</v>
      </c>
      <c r="C40" s="9" t="s">
        <v>644</v>
      </c>
      <c r="D40" s="34" t="n">
        <f aca="false">Model!$G$52/Model!$G$31</f>
        <v>1.14285714285714</v>
      </c>
    </row>
    <row r="41" customFormat="false" ht="15" hidden="false" customHeight="false" outlineLevel="0" collapsed="false">
      <c r="B41" s="46" t="s">
        <v>640</v>
      </c>
      <c r="C41" s="9" t="s">
        <v>645</v>
      </c>
      <c r="D41" s="57" t="n">
        <f aca="false">Model!$G$52-Model!$G$31</f>
        <v>9.304672</v>
      </c>
    </row>
    <row r="42" customFormat="false" ht="15" hidden="false" customHeight="false" outlineLevel="0" collapsed="false">
      <c r="B42" s="46" t="s">
        <v>640</v>
      </c>
      <c r="C42" s="9" t="s">
        <v>646</v>
      </c>
      <c r="D42" s="57" t="n">
        <f aca="false">Model!$F$60-Model!$I$60</f>
        <v>375.356836009175</v>
      </c>
    </row>
    <row r="43" customFormat="false" ht="15" hidden="false" customHeight="false" outlineLevel="0" collapsed="false">
      <c r="B43" s="46" t="s">
        <v>640</v>
      </c>
      <c r="C43" s="9" t="s">
        <v>647</v>
      </c>
      <c r="D43" s="16" t="n">
        <f aca="false">Model!$G$58+Model!$G$59</f>
        <v>115.5</v>
      </c>
    </row>
    <row r="44" customFormat="false" ht="15" hidden="false" customHeight="false" outlineLevel="0" collapsed="false">
      <c r="B44" s="46" t="s">
        <v>648</v>
      </c>
      <c r="C44" s="9" t="s">
        <v>649</v>
      </c>
      <c r="D44" s="56" t="n">
        <f aca="false">Sensitivity!$E$12+Sensitivity!$E$13+Sensitivity!$E$14</f>
        <v>0.125020478660002</v>
      </c>
    </row>
    <row r="45" customFormat="false" ht="15" hidden="false" customHeight="false" outlineLevel="0" collapsed="false">
      <c r="B45" s="46" t="s">
        <v>648</v>
      </c>
      <c r="C45" s="9" t="s">
        <v>650</v>
      </c>
      <c r="D45" s="59" t="n">
        <f aca="false">Scenarios!$D$7*ROUND(Scenarios!$D$6,2)</f>
        <v>69.44</v>
      </c>
    </row>
    <row r="46" customFormat="false" ht="15" hidden="false" customHeight="false" outlineLevel="0" collapsed="false">
      <c r="B46" s="46" t="s">
        <v>648</v>
      </c>
      <c r="C46" s="9" t="s">
        <v>651</v>
      </c>
      <c r="D46" s="59" t="n">
        <f aca="false">Scenarios!$D$7/Scenarios!$E$7*Scenarios!$E$8</f>
        <v>80.9282054768518</v>
      </c>
    </row>
    <row r="47" customFormat="false" ht="15" hidden="false" customHeight="false" outlineLevel="0" collapsed="false">
      <c r="B47" s="46" t="s">
        <v>648</v>
      </c>
      <c r="C47" s="9" t="s">
        <v>652</v>
      </c>
      <c r="D47" s="59" t="n">
        <f aca="false">Scenarios!$E$8-Scenarios!$D$13</f>
        <v>1.62129380882149</v>
      </c>
    </row>
    <row r="48" customFormat="false" ht="15" hidden="false" customHeight="false" outlineLevel="0" collapsed="false">
      <c r="B48" s="46" t="s">
        <v>648</v>
      </c>
      <c r="C48" s="9" t="s">
        <v>653</v>
      </c>
      <c r="D48" s="59" t="n">
        <f aca="false">Scenarios!$F$8-Valuation!$D$5</f>
        <v>40.2510164988064</v>
      </c>
    </row>
    <row r="49" customFormat="false" ht="15" hidden="false" customHeight="false" outlineLevel="0" collapsed="false">
      <c r="B49" s="46" t="s">
        <v>648</v>
      </c>
      <c r="C49" s="9" t="s">
        <v>654</v>
      </c>
      <c r="D49" s="59" t="n">
        <f aca="false">Valuation!$D$5-Scenarios!$D$8</f>
        <v>16.815678041963</v>
      </c>
    </row>
    <row r="50" customFormat="false" ht="15" hidden="false" customHeight="false" outlineLevel="0" collapsed="false">
      <c r="B50" s="46" t="s">
        <v>655</v>
      </c>
      <c r="C50" s="9" t="s">
        <v>656</v>
      </c>
      <c r="D50" s="16" t="n">
        <f aca="false">Model!$H$13-Inputs!$D$141</f>
        <v>23.0723599999999</v>
      </c>
    </row>
    <row r="51" customFormat="false" ht="15" hidden="false" customHeight="false" outlineLevel="0" collapsed="false">
      <c r="B51" s="46" t="s">
        <v>655</v>
      </c>
      <c r="C51" s="9" t="s">
        <v>657</v>
      </c>
      <c r="D51" s="14" t="n">
        <f aca="false">ROUND(Consensus!$C$73,3)/ROUND(Consensus!$C$72,3)</f>
        <v>0.776595744680851</v>
      </c>
    </row>
    <row r="52" customFormat="false" ht="15" hidden="false" customHeight="false" outlineLevel="0" collapsed="false">
      <c r="B52" s="46" t="s">
        <v>655</v>
      </c>
      <c r="C52" s="9" t="s">
        <v>658</v>
      </c>
      <c r="D52" s="57" t="n">
        <f aca="false">Inputs!$D$140+Inputs!$D$141+Inputs!$D$142</f>
        <v>2441</v>
      </c>
    </row>
    <row r="53" customFormat="false" ht="15" hidden="false" customHeight="false" outlineLevel="0" collapsed="false">
      <c r="B53" s="46" t="s">
        <v>655</v>
      </c>
      <c r="C53" s="9" t="s">
        <v>659</v>
      </c>
      <c r="D53" s="57" t="n">
        <f aca="false">Model!$H$18-$D$52</f>
        <v>31.7092448000003</v>
      </c>
    </row>
    <row r="54" customFormat="false" ht="15" hidden="false" customHeight="false" outlineLevel="0" collapsed="false">
      <c r="B54" s="46" t="s">
        <v>660</v>
      </c>
      <c r="C54" s="9" t="s">
        <v>661</v>
      </c>
      <c r="D54" s="56" t="n">
        <f aca="false">ROUND(Revision!$D$20,2)/Inputs!$D$190</f>
        <v>1.00906002265006</v>
      </c>
    </row>
    <row r="55" customFormat="false" ht="15" hidden="false" customHeight="false" outlineLevel="0" collapsed="false">
      <c r="B55" s="46" t="s">
        <v>660</v>
      </c>
      <c r="C55" s="9" t="s">
        <v>662</v>
      </c>
      <c r="D55" s="56" t="n">
        <f aca="false">Inputs!$D$191/ROUND(Revision!$D$20,2)</f>
        <v>1.04657687991021</v>
      </c>
    </row>
    <row r="56" customFormat="false" ht="15" hidden="false" customHeight="false" outlineLevel="0" collapsed="false">
      <c r="B56" s="46" t="s">
        <v>660</v>
      </c>
      <c r="C56" s="9" t="s">
        <v>663</v>
      </c>
      <c r="D56" s="56" t="n">
        <f aca="false">$D$54*$D$55</f>
        <v>1.05605889014723</v>
      </c>
    </row>
    <row r="57" customFormat="false" ht="15" hidden="false" customHeight="false" outlineLevel="0" collapsed="false">
      <c r="B57" s="46" t="s">
        <v>664</v>
      </c>
      <c r="C57" s="9" t="s">
        <v>665</v>
      </c>
      <c r="D57" s="30" t="n">
        <f aca="false">AVERAGE(Valuation!$D$16,Valuation!$D$21)</f>
        <v>15.35</v>
      </c>
    </row>
    <row r="58" customFormat="false" ht="15" hidden="false" customHeight="false" outlineLevel="0" collapsed="false">
      <c r="B58" s="46" t="s">
        <v>664</v>
      </c>
      <c r="C58" s="9" t="s">
        <v>666</v>
      </c>
      <c r="D58" s="30" t="n">
        <f aca="false">AVERAGE(Valuation!$D$17,Valuation!$D$19)</f>
        <v>24.25</v>
      </c>
    </row>
    <row r="59" customFormat="false" ht="15" hidden="false" customHeight="false" outlineLevel="0" collapsed="false">
      <c r="B59" s="46" t="s">
        <v>664</v>
      </c>
      <c r="C59" s="9" t="s">
        <v>667</v>
      </c>
      <c r="D59" s="32" t="n">
        <f aca="false">($D$57+$D$58)/2</f>
        <v>19.8</v>
      </c>
    </row>
    <row r="60" customFormat="false" ht="15" hidden="false" customHeight="false" outlineLevel="0" collapsed="false">
      <c r="B60" s="46" t="s">
        <v>664</v>
      </c>
      <c r="C60" s="9" t="s">
        <v>668</v>
      </c>
      <c r="D60" s="56" t="n">
        <f aca="false">Inputs!$D$87/Valuation!$D$22</f>
        <v>1.05820105820106</v>
      </c>
    </row>
    <row r="61" customFormat="false" ht="15" hidden="false" customHeight="false" outlineLevel="0" collapsed="false">
      <c r="B61" s="46" t="s">
        <v>664</v>
      </c>
      <c r="C61" s="9" t="s">
        <v>669</v>
      </c>
      <c r="D61" s="59" t="n">
        <f aca="false">Valuation!$D$31-Valuation!$D$41</f>
        <v>10.0761299743735</v>
      </c>
    </row>
    <row r="62" customFormat="false" ht="15" hidden="false" customHeight="false" outlineLevel="0" collapsed="false">
      <c r="B62" s="46" t="s">
        <v>664</v>
      </c>
      <c r="C62" s="9" t="s">
        <v>670</v>
      </c>
      <c r="D62" s="56" t="n">
        <f aca="false">Inputs!$D$88/Valuation!$E$22</f>
        <v>1.02040816326531</v>
      </c>
    </row>
    <row r="63" customFormat="false" ht="15" hidden="false" customHeight="false" outlineLevel="0" collapsed="false">
      <c r="B63" s="46" t="s">
        <v>664</v>
      </c>
      <c r="C63" s="9" t="s">
        <v>671</v>
      </c>
      <c r="D63" s="59" t="n">
        <f aca="false">Inputs!$D$87*Model!$G$48</f>
        <v>87.96831232</v>
      </c>
    </row>
    <row r="64" customFormat="false" ht="15" hidden="false" customHeight="false" outlineLevel="0" collapsed="false">
      <c r="B64" s="46" t="s">
        <v>664</v>
      </c>
      <c r="C64" s="9" t="s">
        <v>672</v>
      </c>
      <c r="D64" s="57" t="n">
        <f aca="false">Valuation!$D$32*Valuation!$D$40</f>
        <v>5494.4</v>
      </c>
    </row>
    <row r="65" customFormat="false" ht="15" hidden="false" customHeight="false" outlineLevel="0" collapsed="false">
      <c r="B65" s="46" t="s">
        <v>664</v>
      </c>
      <c r="C65" s="9" t="s">
        <v>673</v>
      </c>
      <c r="D65" s="57" t="n">
        <f aca="false">$D$64+Valuation!$D$38</f>
        <v>6500.50205312</v>
      </c>
    </row>
    <row r="66" customFormat="false" ht="15" hidden="false" customHeight="false" outlineLevel="0" collapsed="false">
      <c r="B66" s="46" t="s">
        <v>674</v>
      </c>
      <c r="C66" s="9" t="s">
        <v>675</v>
      </c>
      <c r="D66" s="57" t="n">
        <f aca="false">Model!$G$35*(1-Inputs!$D$79)</f>
        <v>245.76285888</v>
      </c>
    </row>
    <row r="67" customFormat="false" ht="15" hidden="false" customHeight="false" outlineLevel="0" collapsed="false">
      <c r="B67" s="46" t="s">
        <v>674</v>
      </c>
      <c r="C67" s="9" t="s">
        <v>676</v>
      </c>
      <c r="D67" s="57" t="n">
        <f aca="false">Model!$G$37*(1-Inputs!$D$79)</f>
        <v>42.35</v>
      </c>
    </row>
    <row r="68" customFormat="false" ht="15" hidden="false" customHeight="false" outlineLevel="0" collapsed="false">
      <c r="B68" s="46" t="s">
        <v>674</v>
      </c>
      <c r="C68" s="9" t="s">
        <v>677</v>
      </c>
      <c r="D68" s="38" t="n">
        <f aca="false">(1-Inputs!$D$100)*Inputs!$D$98</f>
        <v>0.0704</v>
      </c>
    </row>
    <row r="69" customFormat="false" ht="15" hidden="false" customHeight="false" outlineLevel="0" collapsed="false">
      <c r="B69" s="46" t="s">
        <v>674</v>
      </c>
      <c r="C69" s="9" t="s">
        <v>678</v>
      </c>
      <c r="D69" s="38" t="n">
        <f aca="false">Inputs!$D$100*Inputs!$D$99*(1-Inputs!$D$79)</f>
        <v>0.0077</v>
      </c>
    </row>
    <row r="70" customFormat="false" ht="15" hidden="false" customHeight="false" outlineLevel="0" collapsed="false">
      <c r="B70" s="46" t="s">
        <v>674</v>
      </c>
      <c r="C70" s="9" t="s">
        <v>679</v>
      </c>
      <c r="D70" s="56" t="n">
        <f aca="false">1+Inputs!$D$98</f>
        <v>1.088</v>
      </c>
    </row>
    <row r="71" customFormat="false" ht="15" hidden="false" customHeight="false" outlineLevel="0" collapsed="false">
      <c r="B71" s="46" t="s">
        <v>674</v>
      </c>
      <c r="C71" s="9" t="s">
        <v>680</v>
      </c>
      <c r="D71" s="59" t="n">
        <f aca="false">Valuation!$D$83*$D$70</f>
        <v>103.426357964436</v>
      </c>
    </row>
    <row r="72" customFormat="false" ht="15" hidden="false" customHeight="false" outlineLevel="0" collapsed="false">
      <c r="B72" s="46" t="s">
        <v>674</v>
      </c>
      <c r="C72" s="9" t="s">
        <v>681</v>
      </c>
      <c r="D72" s="34" t="n">
        <f aca="false">Sensitivity!$G$35/Sensitivity!$E$38</f>
        <v>1.58100848633261</v>
      </c>
    </row>
    <row r="73" customFormat="false" ht="15" hidden="false" customHeight="false" outlineLevel="0" collapsed="false">
      <c r="B73" s="46" t="s">
        <v>674</v>
      </c>
      <c r="C73" s="9" t="s">
        <v>682</v>
      </c>
      <c r="D73" s="59" t="n">
        <f aca="false">ROUND(Sensitivity!$G$36,2)-ROUND(Sensitivity!$F$36,2)</f>
        <v>11.29</v>
      </c>
    </row>
    <row r="74" customFormat="false" ht="15" hidden="false" customHeight="false" outlineLevel="0" collapsed="false">
      <c r="B74" s="46" t="s">
        <v>674</v>
      </c>
      <c r="C74" s="9" t="s">
        <v>683</v>
      </c>
      <c r="D74" s="56" t="n">
        <f aca="false">Valuation!$D$84/Valuation!$D$31</f>
        <v>1.01152726529891</v>
      </c>
    </row>
    <row r="75" customFormat="false" ht="15" hidden="false" customHeight="false" outlineLevel="0" collapsed="false">
      <c r="B75" s="46" t="s">
        <v>684</v>
      </c>
      <c r="C75" s="9" t="s">
        <v>685</v>
      </c>
      <c r="D75" s="59" t="n">
        <f aca="false">-Valuation!$F$49/Valuation!$D$40</f>
        <v>11.4705882352941</v>
      </c>
    </row>
    <row r="76" customFormat="false" ht="15" hidden="false" customHeight="false" outlineLevel="0" collapsed="false">
      <c r="B76" s="46" t="s">
        <v>684</v>
      </c>
      <c r="C76" s="9" t="s">
        <v>686</v>
      </c>
      <c r="D76" s="59" t="n">
        <f aca="false">Valuation!$D$46/Valuation!$D$40</f>
        <v>3.13954560661765</v>
      </c>
    </row>
    <row r="77" customFormat="false" ht="15" hidden="false" customHeight="false" outlineLevel="0" collapsed="false">
      <c r="B77" s="46" t="s">
        <v>684</v>
      </c>
      <c r="C77" s="9" t="s">
        <v>687</v>
      </c>
      <c r="D77" s="59" t="n">
        <f aca="false">Valuation!$D$52-(Inputs!$D$90-Inputs!$D$91)*$D$76</f>
        <v>90.1471529590588</v>
      </c>
    </row>
    <row r="78" customFormat="false" ht="15" hidden="false" customHeight="false" outlineLevel="0" collapsed="false">
      <c r="B78" s="46" t="s">
        <v>684</v>
      </c>
      <c r="C78" s="9" t="s">
        <v>673</v>
      </c>
      <c r="D78" s="57" t="n">
        <f aca="false">Valuation!$D$32*Valuation!$D$40+Valuation!$D$38</f>
        <v>6500.50205312</v>
      </c>
    </row>
    <row r="79" customFormat="false" ht="15" hidden="false" customHeight="false" outlineLevel="0" collapsed="false">
      <c r="B79" s="46" t="s">
        <v>684</v>
      </c>
      <c r="C79" s="9" t="s">
        <v>688</v>
      </c>
      <c r="D79" s="59" t="n">
        <f aca="false">Valuation!$D$31+Valuation!$D$41+Valuation!$D$52+Valuation!$D$84</f>
        <v>390.996985854486</v>
      </c>
    </row>
    <row r="80" customFormat="false" ht="15" hidden="false" customHeight="false" outlineLevel="0" collapsed="false">
      <c r="B80" s="46" t="s">
        <v>684</v>
      </c>
      <c r="C80" s="9" t="s">
        <v>689</v>
      </c>
      <c r="D80" s="59" t="n">
        <f aca="false">$D$79/4</f>
        <v>97.7492464636214</v>
      </c>
    </row>
    <row r="81" customFormat="false" ht="15" hidden="false" customHeight="false" outlineLevel="0" collapsed="false">
      <c r="B81" s="46" t="s">
        <v>684</v>
      </c>
      <c r="C81" s="9" t="s">
        <v>690</v>
      </c>
      <c r="D81" s="59" t="n">
        <f aca="false">(1+Inputs!$D$93)*Valuation!$D$5-Model!$G$57</f>
        <v>98.03</v>
      </c>
    </row>
    <row r="82" customFormat="false" ht="15" hidden="false" customHeight="false" outlineLevel="0" collapsed="false">
      <c r="B82" s="46" t="s">
        <v>691</v>
      </c>
      <c r="C82" s="9" t="s">
        <v>692</v>
      </c>
      <c r="D82" s="14" t="n">
        <f aca="false">ROUND(Rating!$D$7,3)+ROUND(Rating!$D$8,3)</f>
        <v>0.185</v>
      </c>
    </row>
    <row r="83" customFormat="false" ht="15" hidden="false" customHeight="false" outlineLevel="0" collapsed="false">
      <c r="B83" s="46" t="s">
        <v>691</v>
      </c>
      <c r="C83" s="9" t="s">
        <v>693</v>
      </c>
      <c r="D83" s="34" t="n">
        <f aca="false">1+Inputs!$D$94</f>
        <v>0.95</v>
      </c>
    </row>
    <row r="84" customFormat="false" ht="15" hidden="false" customHeight="false" outlineLevel="0" collapsed="false">
      <c r="B84" s="46" t="s">
        <v>691</v>
      </c>
      <c r="C84" s="9" t="s">
        <v>694</v>
      </c>
      <c r="D84" s="59" t="n">
        <f aca="false">(Rating!$D$5+Model!$G$57)/$D$83</f>
        <v>107.473684210526</v>
      </c>
    </row>
    <row r="85" customFormat="false" ht="15" hidden="false" customHeight="false" outlineLevel="0" collapsed="false">
      <c r="B85" s="46" t="s">
        <v>691</v>
      </c>
      <c r="C85" s="9" t="s">
        <v>695</v>
      </c>
      <c r="D85" s="59" t="n">
        <f aca="false">Rating!$D$11-Rating!$D$6</f>
        <v>2.58260869565217</v>
      </c>
    </row>
    <row r="86" customFormat="false" ht="15" hidden="false" customHeight="false" outlineLevel="0" collapsed="false">
      <c r="B86" s="46" t="s">
        <v>696</v>
      </c>
      <c r="C86" s="9" t="s">
        <v>697</v>
      </c>
      <c r="D86" s="59" t="n">
        <f aca="false">Quarter!$D$17-Quarter!$D$22</f>
        <v>66.74873248</v>
      </c>
    </row>
    <row r="87" customFormat="false" ht="15" hidden="false" customHeight="false" outlineLevel="0" collapsed="false">
      <c r="B87" s="46" t="s">
        <v>696</v>
      </c>
      <c r="C87" s="9" t="s">
        <v>698</v>
      </c>
      <c r="D87" s="56" t="n">
        <f aca="false">ROUND(Quarter!$D$46,3)+ROUND(Quarter!$D$47,3)+ROUND(Quarter!$D$48,3)+ROUND(Quarter!$D$49,3)+ROUND(Quarter!$D$50,3)+ROUND(Quarter!$D$51,3)+ROUND(Quarter!$D$52,3)+ROUND(Quarter!$D$53,3)</f>
        <v>0.944</v>
      </c>
    </row>
    <row r="88" customFormat="false" ht="15" hidden="false" customHeight="false" outlineLevel="0" collapsed="false">
      <c r="B88" s="46" t="s">
        <v>696</v>
      </c>
      <c r="C88" s="9" t="s">
        <v>699</v>
      </c>
      <c r="D88" s="56" t="n">
        <f aca="false">1+Quarter!$D$35</f>
        <v>1.01063829787234</v>
      </c>
    </row>
    <row r="89" customFormat="false" ht="15" hidden="false" customHeight="false" outlineLevel="0" collapsed="false">
      <c r="B89" s="46" t="s">
        <v>696</v>
      </c>
      <c r="C89" s="9" t="s">
        <v>700</v>
      </c>
      <c r="D89" s="56" t="n">
        <f aca="false">1+Inputs!$D$183</f>
        <v>1.025</v>
      </c>
    </row>
    <row r="90" customFormat="false" ht="15" hidden="false" customHeight="false" outlineLevel="0" collapsed="false">
      <c r="B90" s="46" t="s">
        <v>696</v>
      </c>
      <c r="C90" s="9" t="s">
        <v>701</v>
      </c>
      <c r="D90" s="14" t="n">
        <f aca="false">Quarter!$E$20/Model!$G$34</f>
        <v>0.425</v>
      </c>
    </row>
    <row r="91" customFormat="false" ht="15" hidden="false" customHeight="false" outlineLevel="0" collapsed="false">
      <c r="B91" s="46" t="s">
        <v>702</v>
      </c>
      <c r="C91" s="9" t="s">
        <v>703</v>
      </c>
      <c r="D91" s="56" t="n">
        <f aca="false">1+Quarter!$D$36</f>
        <v>1.12092391304348</v>
      </c>
    </row>
    <row r="92" customFormat="false" ht="15" hidden="false" customHeight="false" outlineLevel="0" collapsed="false">
      <c r="B92" s="46" t="s">
        <v>702</v>
      </c>
      <c r="C92" s="9" t="s">
        <v>704</v>
      </c>
      <c r="D92" s="56" t="n">
        <f aca="false">1+Model!$G$11</f>
        <v>1.025</v>
      </c>
    </row>
    <row r="93" customFormat="false" ht="15" hidden="false" customHeight="false" outlineLevel="0" collapsed="false">
      <c r="B93" s="46" t="s">
        <v>702</v>
      </c>
      <c r="C93" s="9" t="s">
        <v>705</v>
      </c>
      <c r="D93" s="59" t="n">
        <f aca="false">Inputs!$D$191-Revision!$D$20</f>
        <v>4.15149928103303</v>
      </c>
    </row>
    <row r="94" customFormat="false" ht="15" hidden="false" customHeight="false" outlineLevel="0" collapsed="false">
      <c r="B94" s="46" t="s">
        <v>702</v>
      </c>
      <c r="C94" s="9" t="s">
        <v>706</v>
      </c>
      <c r="D94" s="59" t="n">
        <f aca="false">(Revision!$D$14+Revision!$G$87)/(1+Inputs!$D$93)</f>
        <v>89.6521739130435</v>
      </c>
    </row>
    <row r="95" customFormat="false" ht="15" hidden="false" customHeight="false" outlineLevel="0" collapsed="false">
      <c r="B95" s="46" t="s">
        <v>707</v>
      </c>
      <c r="C95" s="9" t="s">
        <v>708</v>
      </c>
      <c r="D95" s="14" t="n">
        <f aca="false">SUMPRODUCT((TrackRecord!$C$5:$C$16="Buy")*ROUND(TrackRecord!$I$5:$I$16,3))</f>
        <v>0.213</v>
      </c>
    </row>
    <row r="96" customFormat="false" ht="15" hidden="false" customHeight="false" outlineLevel="0" collapsed="false">
      <c r="B96" s="46" t="s">
        <v>707</v>
      </c>
      <c r="C96" s="9" t="s">
        <v>709</v>
      </c>
      <c r="D96" s="14" t="n">
        <f aca="false">$D$95-SUMPRODUCT((TrackRecord!$C$5:$C$16="Sell")*ROUND(TrackRecord!$I$5:$I$16,3))</f>
        <v>0.359</v>
      </c>
    </row>
    <row r="97" customFormat="false" ht="15" hidden="false" customHeight="false" outlineLevel="0" collapsed="false">
      <c r="B97" s="46" t="s">
        <v>710</v>
      </c>
      <c r="C97" s="9" t="s">
        <v>653</v>
      </c>
      <c r="D97" s="59" t="n">
        <f aca="false">Scenarios!$F$8-BuySide!$D$5</f>
        <v>40.2510164988064</v>
      </c>
    </row>
    <row r="98" customFormat="false" ht="15" hidden="false" customHeight="false" outlineLevel="0" collapsed="false">
      <c r="B98" s="46" t="s">
        <v>710</v>
      </c>
      <c r="C98" s="9" t="s">
        <v>654</v>
      </c>
      <c r="D98" s="59" t="n">
        <f aca="false">BuySide!$D$5-BuySide!$D$4</f>
        <v>16.815678041963</v>
      </c>
    </row>
    <row r="99" customFormat="false" ht="15" hidden="false" customHeight="false" outlineLevel="0" collapsed="false">
      <c r="B99" s="46" t="s">
        <v>710</v>
      </c>
      <c r="C99" s="9" t="s">
        <v>711</v>
      </c>
      <c r="D99" s="38" t="n">
        <f aca="false">BuySide!$D$7/(1-BuySide!$D$4/Inputs!$D$191)</f>
        <v>0.0195364237789596</v>
      </c>
    </row>
    <row r="100" customFormat="false" ht="15" hidden="false" customHeight="false" outlineLevel="0" collapsed="false">
      <c r="B100" s="46" t="s">
        <v>712</v>
      </c>
      <c r="C100" s="9" t="s">
        <v>632</v>
      </c>
      <c r="D100" s="34" t="n">
        <f aca="false">1-Inputs!$D$79</f>
        <v>0.77</v>
      </c>
    </row>
    <row r="101" customFormat="false" ht="15" hidden="false" customHeight="false" outlineLevel="0" collapsed="false">
      <c r="B101" s="46" t="s">
        <v>712</v>
      </c>
      <c r="C101" s="9" t="s">
        <v>679</v>
      </c>
      <c r="D101" s="56" t="n">
        <f aca="false">1+Inputs!$D$98</f>
        <v>1.088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I8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" activeCellId="0" sqref="A1"/>
    </sheetView>
  </sheetViews>
  <sheetFormatPr defaultColWidth="8.558593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13"/>
    <col collapsed="false" customWidth="true" hidden="false" outlineLevel="0" max="4" min="4" style="0" width="74"/>
    <col collapsed="false" customWidth="true" hidden="false" outlineLevel="0" max="5" min="5" style="0" width="13"/>
    <col collapsed="false" customWidth="true" hidden="false" outlineLevel="0" max="6" min="6" style="0" width="15"/>
    <col collapsed="false" customWidth="true" hidden="false" outlineLevel="0" max="7" min="7" style="0" width="13"/>
    <col collapsed="false" customWidth="true" hidden="false" outlineLevel="0" max="8" min="8" style="0" width="11"/>
    <col collapsed="false" customWidth="true" hidden="false" outlineLevel="0" max="9" min="9" style="0" width="10"/>
  </cols>
  <sheetData>
    <row r="1" customFormat="false" ht="6" hidden="false" customHeight="true" outlineLevel="0" collapsed="false"/>
    <row r="2" customFormat="false" ht="17.35" hidden="false" customHeight="false" outlineLevel="0" collapsed="false">
      <c r="B2" s="5" t="s">
        <v>713</v>
      </c>
    </row>
    <row r="3" customFormat="false" ht="15" hidden="false" customHeight="false" outlineLevel="0" collapsed="false">
      <c r="B3" s="6" t="s">
        <v>714</v>
      </c>
    </row>
    <row r="4" customFormat="false" ht="15" hidden="false" customHeight="false" outlineLevel="0" collapsed="false">
      <c r="C4" s="26" t="s">
        <v>715</v>
      </c>
      <c r="D4" s="26"/>
      <c r="E4" s="60" t="str">
        <f aca="false">IF(COUNTIF(I9:I858,"PASS")=ROWS(I9:I858),"PASS","FAIL")</f>
        <v>PASS</v>
      </c>
    </row>
    <row r="5" customFormat="false" ht="15" hidden="false" customHeight="false" outlineLevel="0" collapsed="false">
      <c r="C5" s="26" t="s">
        <v>716</v>
      </c>
      <c r="D5" s="26"/>
      <c r="E5" s="52" t="n">
        <f aca="false">ROWS(I9:I858)</f>
        <v>850</v>
      </c>
    </row>
    <row r="6" customFormat="false" ht="15" hidden="false" customHeight="false" outlineLevel="0" collapsed="false">
      <c r="C6" s="26" t="s">
        <v>717</v>
      </c>
      <c r="D6" s="26"/>
      <c r="E6" s="52" t="n">
        <f aca="false">COUNTIF(I9:I858,"PASS")</f>
        <v>850</v>
      </c>
    </row>
    <row r="7" customFormat="false" ht="15" hidden="false" customHeight="false" outlineLevel="0" collapsed="false">
      <c r="C7" s="26" t="s">
        <v>718</v>
      </c>
      <c r="D7" s="26"/>
      <c r="E7" s="52" t="n">
        <f aca="false">ROWS(I9:I858)-COUNTIF(I9:I858,"PASS")</f>
        <v>0</v>
      </c>
    </row>
    <row r="8" customFormat="false" ht="21.75" hidden="false" customHeight="true" outlineLevel="0" collapsed="false">
      <c r="B8" s="7" t="s">
        <v>719</v>
      </c>
      <c r="C8" s="8" t="s">
        <v>720</v>
      </c>
      <c r="D8" s="8" t="s">
        <v>721</v>
      </c>
      <c r="E8" s="8" t="s">
        <v>722</v>
      </c>
      <c r="F8" s="8" t="s">
        <v>605</v>
      </c>
      <c r="G8" s="8" t="s">
        <v>723</v>
      </c>
      <c r="H8" s="8" t="s">
        <v>724</v>
      </c>
      <c r="I8" s="8" t="s">
        <v>426</v>
      </c>
    </row>
    <row r="9" customFormat="false" ht="15" hidden="false" customHeight="false" outlineLevel="0" collapsed="false">
      <c r="B9" s="61" t="n">
        <v>1</v>
      </c>
      <c r="C9" s="9" t="s">
        <v>725</v>
      </c>
      <c r="D9" s="9" t="s">
        <v>726</v>
      </c>
      <c r="E9" s="12" t="n">
        <v>1040</v>
      </c>
      <c r="F9" s="56" t="n">
        <f aca="false">Model!$D$9</f>
        <v>1040</v>
      </c>
      <c r="G9" s="31" t="n">
        <f aca="false">IFERROR(F9-E9,"n/a")</f>
        <v>0</v>
      </c>
      <c r="H9" s="42" t="n">
        <v>0.050000001</v>
      </c>
      <c r="I9" s="60" t="str">
        <f aca="false">IFERROR(IF(ABS(F9-E9)&lt;=H9,"PASS","FAIL"),"FAIL")</f>
        <v>PASS</v>
      </c>
    </row>
    <row r="10" customFormat="false" ht="15" hidden="false" customHeight="false" outlineLevel="0" collapsed="false">
      <c r="B10" s="61" t="n">
        <v>2</v>
      </c>
      <c r="C10" s="9" t="s">
        <v>725</v>
      </c>
      <c r="D10" s="9" t="s">
        <v>727</v>
      </c>
      <c r="E10" s="12" t="n">
        <v>1085</v>
      </c>
      <c r="F10" s="56" t="n">
        <f aca="false">Model!$E$9</f>
        <v>1085</v>
      </c>
      <c r="G10" s="31" t="n">
        <f aca="false">IFERROR(F10-E10,"n/a")</f>
        <v>0</v>
      </c>
      <c r="H10" s="42" t="n">
        <v>0.050000001</v>
      </c>
      <c r="I10" s="60" t="str">
        <f aca="false">IFERROR(IF(ABS(F10-E10)&lt;=H10,"PASS","FAIL"),"FAIL")</f>
        <v>PASS</v>
      </c>
    </row>
    <row r="11" customFormat="false" ht="15" hidden="false" customHeight="false" outlineLevel="0" collapsed="false">
      <c r="B11" s="61" t="n">
        <v>3</v>
      </c>
      <c r="C11" s="9" t="s">
        <v>725</v>
      </c>
      <c r="D11" s="9" t="s">
        <v>728</v>
      </c>
      <c r="E11" s="12" t="n">
        <v>1120</v>
      </c>
      <c r="F11" s="56" t="n">
        <f aca="false">Model!$F$9</f>
        <v>1120</v>
      </c>
      <c r="G11" s="31" t="n">
        <f aca="false">IFERROR(F11-E11,"n/a")</f>
        <v>0</v>
      </c>
      <c r="H11" s="42" t="n">
        <v>0.050000001</v>
      </c>
      <c r="I11" s="60" t="str">
        <f aca="false">IFERROR(IF(ABS(F11-E11)&lt;=H11,"PASS","FAIL"),"FAIL")</f>
        <v>PASS</v>
      </c>
    </row>
    <row r="12" customFormat="false" ht="15" hidden="false" customHeight="false" outlineLevel="0" collapsed="false">
      <c r="B12" s="61" t="n">
        <v>4</v>
      </c>
      <c r="C12" s="9" t="s">
        <v>725</v>
      </c>
      <c r="D12" s="9" t="s">
        <v>729</v>
      </c>
      <c r="E12" s="12" t="n">
        <v>1159.5</v>
      </c>
      <c r="F12" s="56" t="n">
        <f aca="false">Model!$G$9</f>
        <v>1159.48</v>
      </c>
      <c r="G12" s="31" t="n">
        <f aca="false">IFERROR(F12-E12,"n/a")</f>
        <v>-0.0199999999999818</v>
      </c>
      <c r="H12" s="42" t="n">
        <v>0.050000001</v>
      </c>
      <c r="I12" s="60" t="str">
        <f aca="false">IFERROR(IF(ABS(F12-E12)&lt;=H12,"PASS","FAIL"),"FAIL")</f>
        <v>PASS</v>
      </c>
    </row>
    <row r="13" customFormat="false" ht="15" hidden="false" customHeight="false" outlineLevel="0" collapsed="false">
      <c r="B13" s="61" t="n">
        <v>5</v>
      </c>
      <c r="C13" s="9" t="s">
        <v>725</v>
      </c>
      <c r="D13" s="9" t="s">
        <v>730</v>
      </c>
      <c r="E13" s="12" t="n">
        <v>1206.3</v>
      </c>
      <c r="F13" s="56" t="n">
        <f aca="false">Model!$H$9</f>
        <v>1206.322992</v>
      </c>
      <c r="G13" s="31" t="n">
        <f aca="false">IFERROR(F13-E13,"n/a")</f>
        <v>0.0229920000001584</v>
      </c>
      <c r="H13" s="42" t="n">
        <v>0.050000001</v>
      </c>
      <c r="I13" s="60" t="str">
        <f aca="false">IFERROR(IF(ABS(F13-E13)&lt;=H13,"PASS","FAIL"),"FAIL")</f>
        <v>PASS</v>
      </c>
    </row>
    <row r="14" customFormat="false" ht="15" hidden="false" customHeight="false" outlineLevel="0" collapsed="false">
      <c r="B14" s="61" t="n">
        <v>6</v>
      </c>
      <c r="C14" s="9" t="s">
        <v>725</v>
      </c>
      <c r="D14" s="9" t="s">
        <v>731</v>
      </c>
      <c r="E14" s="12" t="n">
        <v>1261.2</v>
      </c>
      <c r="F14" s="56" t="n">
        <f aca="false">Model!$I$9</f>
        <v>1261.210688136</v>
      </c>
      <c r="G14" s="31" t="n">
        <f aca="false">IFERROR(F14-E14,"n/a")</f>
        <v>0.0106881359999988</v>
      </c>
      <c r="H14" s="42" t="n">
        <v>0.050000001</v>
      </c>
      <c r="I14" s="60" t="str">
        <f aca="false">IFERROR(IF(ABS(F14-E14)&lt;=H14,"PASS","FAIL"),"FAIL")</f>
        <v>PASS</v>
      </c>
    </row>
    <row r="15" customFormat="false" ht="15" hidden="false" customHeight="false" outlineLevel="0" collapsed="false">
      <c r="B15" s="61" t="n">
        <v>7</v>
      </c>
      <c r="C15" s="9" t="s">
        <v>725</v>
      </c>
      <c r="D15" s="9" t="s">
        <v>732</v>
      </c>
      <c r="E15" s="12" t="n">
        <v>530</v>
      </c>
      <c r="F15" s="56" t="n">
        <f aca="false">Model!$D$13</f>
        <v>530</v>
      </c>
      <c r="G15" s="31" t="n">
        <f aca="false">IFERROR(F15-E15,"n/a")</f>
        <v>0</v>
      </c>
      <c r="H15" s="42" t="n">
        <v>0.050000001</v>
      </c>
      <c r="I15" s="60" t="str">
        <f aca="false">IFERROR(IF(ABS(F15-E15)&lt;=H15,"PASS","FAIL"),"FAIL")</f>
        <v>PASS</v>
      </c>
    </row>
    <row r="16" customFormat="false" ht="15" hidden="false" customHeight="false" outlineLevel="0" collapsed="false">
      <c r="B16" s="61" t="n">
        <v>8</v>
      </c>
      <c r="C16" s="9" t="s">
        <v>725</v>
      </c>
      <c r="D16" s="9" t="s">
        <v>733</v>
      </c>
      <c r="E16" s="12" t="n">
        <v>585</v>
      </c>
      <c r="F16" s="56" t="n">
        <f aca="false">Model!$E$13</f>
        <v>585</v>
      </c>
      <c r="G16" s="31" t="n">
        <f aca="false">IFERROR(F16-E16,"n/a")</f>
        <v>0</v>
      </c>
      <c r="H16" s="42" t="n">
        <v>0.050000001</v>
      </c>
      <c r="I16" s="60" t="str">
        <f aca="false">IFERROR(IF(ABS(F16-E16)&lt;=H16,"PASS","FAIL"),"FAIL")</f>
        <v>PASS</v>
      </c>
    </row>
    <row r="17" customFormat="false" ht="15" hidden="false" customHeight="false" outlineLevel="0" collapsed="false">
      <c r="B17" s="61" t="n">
        <v>9</v>
      </c>
      <c r="C17" s="9" t="s">
        <v>725</v>
      </c>
      <c r="D17" s="9" t="s">
        <v>734</v>
      </c>
      <c r="E17" s="12" t="n">
        <v>640</v>
      </c>
      <c r="F17" s="56" t="n">
        <f aca="false">Model!$F$13</f>
        <v>640</v>
      </c>
      <c r="G17" s="31" t="n">
        <f aca="false">IFERROR(F17-E17,"n/a")</f>
        <v>0</v>
      </c>
      <c r="H17" s="42" t="n">
        <v>0.050000001</v>
      </c>
      <c r="I17" s="60" t="str">
        <f aca="false">IFERROR(IF(ABS(F17-E17)&lt;=H17,"PASS","FAIL"),"FAIL")</f>
        <v>PASS</v>
      </c>
    </row>
    <row r="18" customFormat="false" ht="15" hidden="false" customHeight="false" outlineLevel="0" collapsed="false">
      <c r="B18" s="61" t="n">
        <v>10</v>
      </c>
      <c r="C18" s="9" t="s">
        <v>725</v>
      </c>
      <c r="D18" s="9" t="s">
        <v>735</v>
      </c>
      <c r="E18" s="12" t="n">
        <v>695.4</v>
      </c>
      <c r="F18" s="56" t="n">
        <f aca="false">Model!$G$13</f>
        <v>695.36</v>
      </c>
      <c r="G18" s="31" t="n">
        <f aca="false">IFERROR(F18-E18,"n/a")</f>
        <v>-0.0399999999999636</v>
      </c>
      <c r="H18" s="42" t="n">
        <v>0.050000001</v>
      </c>
      <c r="I18" s="60" t="str">
        <f aca="false">IFERROR(IF(ABS(F18-E18)&lt;=H18,"PASS","FAIL"),"FAIL")</f>
        <v>PASS</v>
      </c>
    </row>
    <row r="19" customFormat="false" ht="15" hidden="false" customHeight="false" outlineLevel="0" collapsed="false">
      <c r="B19" s="61" t="n">
        <v>11</v>
      </c>
      <c r="C19" s="9" t="s">
        <v>725</v>
      </c>
      <c r="D19" s="9" t="s">
        <v>736</v>
      </c>
      <c r="E19" s="12" t="n">
        <v>759.1</v>
      </c>
      <c r="F19" s="56" t="n">
        <f aca="false">Model!$H$13</f>
        <v>759.07236</v>
      </c>
      <c r="G19" s="31" t="n">
        <f aca="false">IFERROR(F19-E19,"n/a")</f>
        <v>-0.0276400000001331</v>
      </c>
      <c r="H19" s="42" t="n">
        <v>0.050000001</v>
      </c>
      <c r="I19" s="60" t="str">
        <f aca="false">IFERROR(IF(ABS(F19-E19)&lt;=H19,"PASS","FAIL"),"FAIL")</f>
        <v>PASS</v>
      </c>
    </row>
    <row r="20" customFormat="false" ht="15" hidden="false" customHeight="false" outlineLevel="0" collapsed="false">
      <c r="B20" s="61" t="n">
        <v>12</v>
      </c>
      <c r="C20" s="9" t="s">
        <v>725</v>
      </c>
      <c r="D20" s="9" t="s">
        <v>737</v>
      </c>
      <c r="E20" s="12" t="n">
        <v>820.7</v>
      </c>
      <c r="F20" s="56" t="n">
        <f aca="false">Model!$I$13</f>
        <v>820.709035632</v>
      </c>
      <c r="G20" s="31" t="n">
        <f aca="false">IFERROR(F20-E20,"n/a")</f>
        <v>0.00903563199995006</v>
      </c>
      <c r="H20" s="42" t="n">
        <v>0.050000001</v>
      </c>
      <c r="I20" s="60" t="str">
        <f aca="false">IFERROR(IF(ABS(F20-E20)&lt;=H20,"PASS","FAIL"),"FAIL")</f>
        <v>PASS</v>
      </c>
    </row>
    <row r="21" customFormat="false" ht="15" hidden="false" customHeight="false" outlineLevel="0" collapsed="false">
      <c r="B21" s="61" t="n">
        <v>13</v>
      </c>
      <c r="C21" s="9" t="s">
        <v>725</v>
      </c>
      <c r="D21" s="9" t="s">
        <v>738</v>
      </c>
      <c r="E21" s="12" t="n">
        <v>380</v>
      </c>
      <c r="F21" s="56" t="n">
        <f aca="false">Model!$D$17</f>
        <v>380</v>
      </c>
      <c r="G21" s="31" t="n">
        <f aca="false">IFERROR(F21-E21,"n/a")</f>
        <v>0</v>
      </c>
      <c r="H21" s="42" t="n">
        <v>0.050000001</v>
      </c>
      <c r="I21" s="60" t="str">
        <f aca="false">IFERROR(IF(ABS(F21-E21)&lt;=H21,"PASS","FAIL"),"FAIL")</f>
        <v>PASS</v>
      </c>
    </row>
    <row r="22" customFormat="false" ht="15" hidden="false" customHeight="false" outlineLevel="0" collapsed="false">
      <c r="B22" s="61" t="n">
        <v>14</v>
      </c>
      <c r="C22" s="9" t="s">
        <v>725</v>
      </c>
      <c r="D22" s="9" t="s">
        <v>739</v>
      </c>
      <c r="E22" s="12" t="n">
        <v>410</v>
      </c>
      <c r="F22" s="56" t="n">
        <f aca="false">Model!$E$17</f>
        <v>410</v>
      </c>
      <c r="G22" s="31" t="n">
        <f aca="false">IFERROR(F22-E22,"n/a")</f>
        <v>0</v>
      </c>
      <c r="H22" s="42" t="n">
        <v>0.050000001</v>
      </c>
      <c r="I22" s="60" t="str">
        <f aca="false">IFERROR(IF(ABS(F22-E22)&lt;=H22,"PASS","FAIL"),"FAIL")</f>
        <v>PASS</v>
      </c>
    </row>
    <row r="23" customFormat="false" ht="15" hidden="false" customHeight="false" outlineLevel="0" collapsed="false">
      <c r="B23" s="61" t="n">
        <v>15</v>
      </c>
      <c r="C23" s="9" t="s">
        <v>725</v>
      </c>
      <c r="D23" s="9" t="s">
        <v>740</v>
      </c>
      <c r="E23" s="12" t="n">
        <v>440</v>
      </c>
      <c r="F23" s="56" t="n">
        <f aca="false">Model!$F$17</f>
        <v>440</v>
      </c>
      <c r="G23" s="31" t="n">
        <f aca="false">IFERROR(F23-E23,"n/a")</f>
        <v>0</v>
      </c>
      <c r="H23" s="42" t="n">
        <v>0.050000001</v>
      </c>
      <c r="I23" s="60" t="str">
        <f aca="false">IFERROR(IF(ABS(F23-E23)&lt;=H23,"PASS","FAIL"),"FAIL")</f>
        <v>PASS</v>
      </c>
    </row>
    <row r="24" customFormat="false" ht="15" hidden="false" customHeight="false" outlineLevel="0" collapsed="false">
      <c r="B24" s="61" t="n">
        <v>16</v>
      </c>
      <c r="C24" s="9" t="s">
        <v>725</v>
      </c>
      <c r="D24" s="9" t="s">
        <v>741</v>
      </c>
      <c r="E24" s="12" t="n">
        <v>471.3</v>
      </c>
      <c r="F24" s="56" t="n">
        <f aca="false">Model!$G$17</f>
        <v>471.328</v>
      </c>
      <c r="G24" s="31" t="n">
        <f aca="false">IFERROR(F24-E24,"n/a")</f>
        <v>0.0280000000000769</v>
      </c>
      <c r="H24" s="42" t="n">
        <v>0.050000001</v>
      </c>
      <c r="I24" s="60" t="str">
        <f aca="false">IFERROR(IF(ABS(F24-E24)&lt;=H24,"PASS","FAIL"),"FAIL")</f>
        <v>PASS</v>
      </c>
    </row>
    <row r="25" customFormat="false" ht="15" hidden="false" customHeight="false" outlineLevel="0" collapsed="false">
      <c r="B25" s="61" t="n">
        <v>17</v>
      </c>
      <c r="C25" s="9" t="s">
        <v>725</v>
      </c>
      <c r="D25" s="9" t="s">
        <v>742</v>
      </c>
      <c r="E25" s="12" t="n">
        <v>507.3</v>
      </c>
      <c r="F25" s="56" t="n">
        <f aca="false">Model!$H$17</f>
        <v>507.3138928</v>
      </c>
      <c r="G25" s="31" t="n">
        <f aca="false">IFERROR(F25-E25,"n/a")</f>
        <v>0.0138928000000647</v>
      </c>
      <c r="H25" s="42" t="n">
        <v>0.050000001</v>
      </c>
      <c r="I25" s="60" t="str">
        <f aca="false">IFERROR(IF(ABS(F25-E25)&lt;=H25,"PASS","FAIL"),"FAIL")</f>
        <v>PASS</v>
      </c>
    </row>
    <row r="26" customFormat="false" ht="15" hidden="false" customHeight="false" outlineLevel="0" collapsed="false">
      <c r="B26" s="61" t="n">
        <v>18</v>
      </c>
      <c r="C26" s="9" t="s">
        <v>725</v>
      </c>
      <c r="D26" s="9" t="s">
        <v>743</v>
      </c>
      <c r="E26" s="12" t="n">
        <v>546</v>
      </c>
      <c r="F26" s="56" t="n">
        <f aca="false">Model!$I$17</f>
        <v>546.04730851528</v>
      </c>
      <c r="G26" s="31" t="n">
        <f aca="false">IFERROR(F26-E26,"n/a")</f>
        <v>0.047308515280065</v>
      </c>
      <c r="H26" s="42" t="n">
        <v>0.050000001</v>
      </c>
      <c r="I26" s="60" t="str">
        <f aca="false">IFERROR(IF(ABS(F26-E26)&lt;=H26,"PASS","FAIL"),"FAIL")</f>
        <v>PASS</v>
      </c>
    </row>
    <row r="27" customFormat="false" ht="15" hidden="false" customHeight="false" outlineLevel="0" collapsed="false">
      <c r="B27" s="61" t="n">
        <v>19</v>
      </c>
      <c r="C27" s="9" t="s">
        <v>725</v>
      </c>
      <c r="D27" s="9" t="s">
        <v>744</v>
      </c>
      <c r="E27" s="12" t="n">
        <v>1950</v>
      </c>
      <c r="F27" s="56" t="n">
        <f aca="false">Model!$D$18</f>
        <v>1950</v>
      </c>
      <c r="G27" s="31" t="n">
        <f aca="false">IFERROR(F27-E27,"n/a")</f>
        <v>0</v>
      </c>
      <c r="H27" s="42" t="n">
        <v>0.050000001</v>
      </c>
      <c r="I27" s="60" t="str">
        <f aca="false">IFERROR(IF(ABS(F27-E27)&lt;=H27,"PASS","FAIL"),"FAIL")</f>
        <v>PASS</v>
      </c>
    </row>
    <row r="28" customFormat="false" ht="15" hidden="false" customHeight="false" outlineLevel="0" collapsed="false">
      <c r="B28" s="61" t="n">
        <v>20</v>
      </c>
      <c r="C28" s="9" t="s">
        <v>725</v>
      </c>
      <c r="D28" s="9" t="s">
        <v>745</v>
      </c>
      <c r="E28" s="12" t="n">
        <v>2080</v>
      </c>
      <c r="F28" s="56" t="n">
        <f aca="false">Model!$E$18</f>
        <v>2080</v>
      </c>
      <c r="G28" s="31" t="n">
        <f aca="false">IFERROR(F28-E28,"n/a")</f>
        <v>0</v>
      </c>
      <c r="H28" s="42" t="n">
        <v>0.050000001</v>
      </c>
      <c r="I28" s="60" t="str">
        <f aca="false">IFERROR(IF(ABS(F28-E28)&lt;=H28,"PASS","FAIL"),"FAIL")</f>
        <v>PASS</v>
      </c>
    </row>
    <row r="29" customFormat="false" ht="15" hidden="false" customHeight="false" outlineLevel="0" collapsed="false">
      <c r="B29" s="61" t="n">
        <v>21</v>
      </c>
      <c r="C29" s="9" t="s">
        <v>725</v>
      </c>
      <c r="D29" s="9" t="s">
        <v>746</v>
      </c>
      <c r="E29" s="12" t="n">
        <v>2200</v>
      </c>
      <c r="F29" s="56" t="n">
        <f aca="false">Model!$F$18</f>
        <v>2200</v>
      </c>
      <c r="G29" s="31" t="n">
        <f aca="false">IFERROR(F29-E29,"n/a")</f>
        <v>0</v>
      </c>
      <c r="H29" s="42" t="n">
        <v>0.050000001</v>
      </c>
      <c r="I29" s="60" t="str">
        <f aca="false">IFERROR(IF(ABS(F29-E29)&lt;=H29,"PASS","FAIL"),"FAIL")</f>
        <v>PASS</v>
      </c>
    </row>
    <row r="30" customFormat="false" ht="15" hidden="false" customHeight="false" outlineLevel="0" collapsed="false">
      <c r="B30" s="61" t="n">
        <v>22</v>
      </c>
      <c r="C30" s="9" t="s">
        <v>725</v>
      </c>
      <c r="D30" s="9" t="s">
        <v>747</v>
      </c>
      <c r="E30" s="12" t="n">
        <v>2326.2</v>
      </c>
      <c r="F30" s="56" t="n">
        <f aca="false">Model!$G$18</f>
        <v>2326.168</v>
      </c>
      <c r="G30" s="31" t="n">
        <f aca="false">IFERROR(F30-E30,"n/a")</f>
        <v>-0.0319999999996981</v>
      </c>
      <c r="H30" s="42" t="n">
        <v>0.050000001</v>
      </c>
      <c r="I30" s="60" t="str">
        <f aca="false">IFERROR(IF(ABS(F30-E30)&lt;=H30,"PASS","FAIL"),"FAIL")</f>
        <v>PASS</v>
      </c>
    </row>
    <row r="31" customFormat="false" ht="15" hidden="false" customHeight="false" outlineLevel="0" collapsed="false">
      <c r="B31" s="61" t="n">
        <v>23</v>
      </c>
      <c r="C31" s="9" t="s">
        <v>725</v>
      </c>
      <c r="D31" s="9" t="s">
        <v>748</v>
      </c>
      <c r="E31" s="12" t="n">
        <v>2472.7</v>
      </c>
      <c r="F31" s="56" t="n">
        <f aca="false">Model!$H$18</f>
        <v>2472.7092448</v>
      </c>
      <c r="G31" s="31" t="n">
        <f aca="false">IFERROR(F31-E31,"n/a")</f>
        <v>0.00924480000048789</v>
      </c>
      <c r="H31" s="42" t="n">
        <v>0.050000001</v>
      </c>
      <c r="I31" s="60" t="str">
        <f aca="false">IFERROR(IF(ABS(F31-E31)&lt;=H31,"PASS","FAIL"),"FAIL")</f>
        <v>PASS</v>
      </c>
    </row>
    <row r="32" customFormat="false" ht="15" hidden="false" customHeight="false" outlineLevel="0" collapsed="false">
      <c r="B32" s="61" t="n">
        <v>24</v>
      </c>
      <c r="C32" s="9" t="s">
        <v>725</v>
      </c>
      <c r="D32" s="9" t="s">
        <v>749</v>
      </c>
      <c r="E32" s="12" t="n">
        <v>2628</v>
      </c>
      <c r="F32" s="56" t="n">
        <f aca="false">Model!$I$18</f>
        <v>2627.96703228328</v>
      </c>
      <c r="G32" s="31" t="n">
        <f aca="false">IFERROR(F32-E32,"n/a")</f>
        <v>-0.0329677167201226</v>
      </c>
      <c r="H32" s="42" t="n">
        <v>0.050000001</v>
      </c>
      <c r="I32" s="60" t="str">
        <f aca="false">IFERROR(IF(ABS(F32-E32)&lt;=H32,"PASS","FAIL"),"FAIL")</f>
        <v>PASS</v>
      </c>
    </row>
    <row r="33" customFormat="false" ht="15" hidden="false" customHeight="false" outlineLevel="0" collapsed="false">
      <c r="B33" s="61" t="n">
        <v>25</v>
      </c>
      <c r="C33" s="9" t="s">
        <v>725</v>
      </c>
      <c r="D33" s="9" t="s">
        <v>750</v>
      </c>
      <c r="E33" s="11" t="n">
        <v>0.074</v>
      </c>
      <c r="F33" s="62" t="n">
        <f aca="false">Model!$D$19</f>
        <v>0.0743801652892562</v>
      </c>
      <c r="G33" s="31" t="n">
        <f aca="false">IFERROR(F33-E33,"n/a")</f>
        <v>0.000380165289256162</v>
      </c>
      <c r="H33" s="42" t="n">
        <v>0.000500001</v>
      </c>
      <c r="I33" s="60" t="str">
        <f aca="false">IFERROR(IF(ABS(F33-E33)&lt;=H33,"PASS","FAIL"),"FAIL")</f>
        <v>PASS</v>
      </c>
    </row>
    <row r="34" customFormat="false" ht="15" hidden="false" customHeight="false" outlineLevel="0" collapsed="false">
      <c r="B34" s="61" t="n">
        <v>26</v>
      </c>
      <c r="C34" s="9" t="s">
        <v>725</v>
      </c>
      <c r="D34" s="9" t="s">
        <v>751</v>
      </c>
      <c r="E34" s="11" t="n">
        <v>0.067</v>
      </c>
      <c r="F34" s="62" t="n">
        <f aca="false">Model!$E$19</f>
        <v>0.0666666666666667</v>
      </c>
      <c r="G34" s="31" t="n">
        <f aca="false">IFERROR(F34-E34,"n/a")</f>
        <v>-0.000333333333333352</v>
      </c>
      <c r="H34" s="42" t="n">
        <v>0.000500001</v>
      </c>
      <c r="I34" s="60" t="str">
        <f aca="false">IFERROR(IF(ABS(F34-E34)&lt;=H34,"PASS","FAIL"),"FAIL")</f>
        <v>PASS</v>
      </c>
    </row>
    <row r="35" customFormat="false" ht="15" hidden="false" customHeight="false" outlineLevel="0" collapsed="false">
      <c r="B35" s="61" t="n">
        <v>27</v>
      </c>
      <c r="C35" s="9" t="s">
        <v>725</v>
      </c>
      <c r="D35" s="9" t="s">
        <v>752</v>
      </c>
      <c r="E35" s="11" t="n">
        <v>0.058</v>
      </c>
      <c r="F35" s="62" t="n">
        <f aca="false">Model!$F$19</f>
        <v>0.0576923076923077</v>
      </c>
      <c r="G35" s="31" t="n">
        <f aca="false">IFERROR(F35-E35,"n/a")</f>
        <v>-0.000307692307692294</v>
      </c>
      <c r="H35" s="42" t="n">
        <v>0.000500001</v>
      </c>
      <c r="I35" s="60" t="str">
        <f aca="false">IFERROR(IF(ABS(F35-E35)&lt;=H35,"PASS","FAIL"),"FAIL")</f>
        <v>PASS</v>
      </c>
    </row>
    <row r="36" customFormat="false" ht="15" hidden="false" customHeight="false" outlineLevel="0" collapsed="false">
      <c r="B36" s="61" t="n">
        <v>28</v>
      </c>
      <c r="C36" s="9" t="s">
        <v>725</v>
      </c>
      <c r="D36" s="9" t="s">
        <v>753</v>
      </c>
      <c r="E36" s="11" t="n">
        <v>0.057</v>
      </c>
      <c r="F36" s="62" t="n">
        <f aca="false">Model!$G$19</f>
        <v>0.057349090909091</v>
      </c>
      <c r="G36" s="31" t="n">
        <f aca="false">IFERROR(F36-E36,"n/a")</f>
        <v>0.000349090909091014</v>
      </c>
      <c r="H36" s="42" t="n">
        <v>0.000500001</v>
      </c>
      <c r="I36" s="60" t="str">
        <f aca="false">IFERROR(IF(ABS(F36-E36)&lt;=H36,"PASS","FAIL"),"FAIL")</f>
        <v>PASS</v>
      </c>
    </row>
    <row r="37" customFormat="false" ht="15" hidden="false" customHeight="false" outlineLevel="0" collapsed="false">
      <c r="B37" s="61" t="n">
        <v>29</v>
      </c>
      <c r="C37" s="9" t="s">
        <v>725</v>
      </c>
      <c r="D37" s="9" t="s">
        <v>754</v>
      </c>
      <c r="E37" s="11" t="n">
        <v>0.063</v>
      </c>
      <c r="F37" s="62" t="n">
        <f aca="false">Model!$H$19</f>
        <v>0.0629968449398324</v>
      </c>
      <c r="G37" s="31" t="n">
        <f aca="false">IFERROR(F37-E37,"n/a")</f>
        <v>-3.15506016762557E-006</v>
      </c>
      <c r="H37" s="42" t="n">
        <v>0.000500001</v>
      </c>
      <c r="I37" s="60" t="str">
        <f aca="false">IFERROR(IF(ABS(F37-E37)&lt;=H37,"PASS","FAIL"),"FAIL")</f>
        <v>PASS</v>
      </c>
    </row>
    <row r="38" customFormat="false" ht="15" hidden="false" customHeight="false" outlineLevel="0" collapsed="false">
      <c r="B38" s="61" t="n">
        <v>30</v>
      </c>
      <c r="C38" s="9" t="s">
        <v>725</v>
      </c>
      <c r="D38" s="9" t="s">
        <v>755</v>
      </c>
      <c r="E38" s="11" t="n">
        <v>0.063</v>
      </c>
      <c r="F38" s="62" t="n">
        <f aca="false">Model!$I$19</f>
        <v>0.062788533593175</v>
      </c>
      <c r="G38" s="31" t="n">
        <f aca="false">IFERROR(F38-E38,"n/a")</f>
        <v>-0.000211466406824956</v>
      </c>
      <c r="H38" s="42" t="n">
        <v>0.000500001</v>
      </c>
      <c r="I38" s="60" t="str">
        <f aca="false">IFERROR(IF(ABS(F38-E38)&lt;=H38,"PASS","FAIL"),"FAIL")</f>
        <v>PASS</v>
      </c>
    </row>
    <row r="39" customFormat="false" ht="15" hidden="false" customHeight="false" outlineLevel="0" collapsed="false">
      <c r="B39" s="61" t="n">
        <v>31</v>
      </c>
      <c r="C39" s="9" t="s">
        <v>725</v>
      </c>
      <c r="D39" s="9" t="s">
        <v>756</v>
      </c>
      <c r="E39" s="11" t="n">
        <v>0.056</v>
      </c>
      <c r="F39" s="62" t="n">
        <f aca="false">Model!$D$8</f>
        <v>0.0558375634517767</v>
      </c>
      <c r="G39" s="31" t="n">
        <f aca="false">IFERROR(F39-E39,"n/a")</f>
        <v>-0.000162436548223281</v>
      </c>
      <c r="H39" s="42" t="n">
        <v>0.000500001</v>
      </c>
      <c r="I39" s="60" t="str">
        <f aca="false">IFERROR(IF(ABS(F39-E39)&lt;=H39,"PASS","FAIL"),"FAIL")</f>
        <v>PASS</v>
      </c>
    </row>
    <row r="40" customFormat="false" ht="15" hidden="false" customHeight="false" outlineLevel="0" collapsed="false">
      <c r="B40" s="61" t="n">
        <v>32</v>
      </c>
      <c r="C40" s="9" t="s">
        <v>725</v>
      </c>
      <c r="D40" s="9" t="s">
        <v>757</v>
      </c>
      <c r="E40" s="11" t="n">
        <v>0.043</v>
      </c>
      <c r="F40" s="62" t="n">
        <f aca="false">Model!$E$8</f>
        <v>0.0432692307692308</v>
      </c>
      <c r="G40" s="31" t="n">
        <f aca="false">IFERROR(F40-E40,"n/a")</f>
        <v>0.000269230769230841</v>
      </c>
      <c r="H40" s="42" t="n">
        <v>0.000500001</v>
      </c>
      <c r="I40" s="60" t="str">
        <f aca="false">IFERROR(IF(ABS(F40-E40)&lt;=H40,"PASS","FAIL"),"FAIL")</f>
        <v>PASS</v>
      </c>
    </row>
    <row r="41" customFormat="false" ht="15" hidden="false" customHeight="false" outlineLevel="0" collapsed="false">
      <c r="B41" s="61" t="n">
        <v>33</v>
      </c>
      <c r="C41" s="9" t="s">
        <v>725</v>
      </c>
      <c r="D41" s="9" t="s">
        <v>758</v>
      </c>
      <c r="E41" s="11" t="n">
        <v>0.032</v>
      </c>
      <c r="F41" s="62" t="n">
        <f aca="false">Model!$F$8</f>
        <v>0.032258064516129</v>
      </c>
      <c r="G41" s="31" t="n">
        <f aca="false">IFERROR(F41-E41,"n/a")</f>
        <v>0.000258064516129003</v>
      </c>
      <c r="H41" s="42" t="n">
        <v>0.000500001</v>
      </c>
      <c r="I41" s="60" t="str">
        <f aca="false">IFERROR(IF(ABS(F41-E41)&lt;=H41,"PASS","FAIL"),"FAIL")</f>
        <v>PASS</v>
      </c>
    </row>
    <row r="42" customFormat="false" ht="15" hidden="false" customHeight="false" outlineLevel="0" collapsed="false">
      <c r="B42" s="61" t="n">
        <v>34</v>
      </c>
      <c r="C42" s="9" t="s">
        <v>725</v>
      </c>
      <c r="D42" s="9" t="s">
        <v>759</v>
      </c>
      <c r="E42" s="11" t="n">
        <v>0.035</v>
      </c>
      <c r="F42" s="62" t="n">
        <f aca="false">Model!$G$8</f>
        <v>0.03525</v>
      </c>
      <c r="G42" s="31" t="n">
        <f aca="false">IFERROR(F42-E42,"n/a")</f>
        <v>0.00025</v>
      </c>
      <c r="H42" s="42" t="n">
        <v>0.000500001</v>
      </c>
      <c r="I42" s="60" t="str">
        <f aca="false">IFERROR(IF(ABS(F42-E42)&lt;=H42,"PASS","FAIL"),"FAIL")</f>
        <v>PASS</v>
      </c>
    </row>
    <row r="43" customFormat="false" ht="15" hidden="false" customHeight="false" outlineLevel="0" collapsed="false">
      <c r="B43" s="61" t="n">
        <v>35</v>
      </c>
      <c r="C43" s="9" t="s">
        <v>725</v>
      </c>
      <c r="D43" s="9" t="s">
        <v>760</v>
      </c>
      <c r="E43" s="11" t="n">
        <v>0.04</v>
      </c>
      <c r="F43" s="62" t="n">
        <f aca="false">Model!$H$8</f>
        <v>0.0404</v>
      </c>
      <c r="G43" s="31" t="n">
        <f aca="false">IFERROR(F43-E43,"n/a")</f>
        <v>0.000399999999999991</v>
      </c>
      <c r="H43" s="42" t="n">
        <v>0.000500001</v>
      </c>
      <c r="I43" s="60" t="str">
        <f aca="false">IFERROR(IF(ABS(F43-E43)&lt;=H43,"PASS","FAIL"),"FAIL")</f>
        <v>PASS</v>
      </c>
    </row>
    <row r="44" customFormat="false" ht="15" hidden="false" customHeight="false" outlineLevel="0" collapsed="false">
      <c r="B44" s="61" t="n">
        <v>36</v>
      </c>
      <c r="C44" s="9" t="s">
        <v>725</v>
      </c>
      <c r="D44" s="9" t="s">
        <v>761</v>
      </c>
      <c r="E44" s="11" t="n">
        <v>0.045</v>
      </c>
      <c r="F44" s="62" t="n">
        <f aca="false">Model!$I$8</f>
        <v>0.0454999999999999</v>
      </c>
      <c r="G44" s="31" t="n">
        <f aca="false">IFERROR(F44-E44,"n/a")</f>
        <v>0.000499999999999876</v>
      </c>
      <c r="H44" s="42" t="n">
        <v>0.000500001</v>
      </c>
      <c r="I44" s="60" t="str">
        <f aca="false">IFERROR(IF(ABS(F44-E44)&lt;=H44,"PASS","FAIL"),"FAIL")</f>
        <v>PASS</v>
      </c>
    </row>
    <row r="45" customFormat="false" ht="15" hidden="false" customHeight="false" outlineLevel="0" collapsed="false">
      <c r="B45" s="61" t="n">
        <v>37</v>
      </c>
      <c r="C45" s="9" t="s">
        <v>725</v>
      </c>
      <c r="D45" s="9" t="s">
        <v>762</v>
      </c>
      <c r="E45" s="11" t="n">
        <v>0.01</v>
      </c>
      <c r="F45" s="62" t="n">
        <f aca="false">Model!$D$6</f>
        <v>0.0103708741165327</v>
      </c>
      <c r="G45" s="31" t="n">
        <f aca="false">IFERROR(F45-E45,"n/a")</f>
        <v>0.000370874116532702</v>
      </c>
      <c r="H45" s="42" t="n">
        <v>0.000500001</v>
      </c>
      <c r="I45" s="60" t="str">
        <f aca="false">IFERROR(IF(ABS(F45-E45)&lt;=H45,"PASS","FAIL"),"FAIL")</f>
        <v>PASS</v>
      </c>
    </row>
    <row r="46" customFormat="false" ht="15" hidden="false" customHeight="false" outlineLevel="0" collapsed="false">
      <c r="B46" s="61" t="n">
        <v>38</v>
      </c>
      <c r="C46" s="9" t="s">
        <v>725</v>
      </c>
      <c r="D46" s="9" t="s">
        <v>763</v>
      </c>
      <c r="E46" s="11" t="n">
        <v>0.013</v>
      </c>
      <c r="F46" s="62" t="n">
        <f aca="false">Model!$E$6</f>
        <v>0.0128827483196416</v>
      </c>
      <c r="G46" s="31" t="n">
        <f aca="false">IFERROR(F46-E46,"n/a")</f>
        <v>-0.000117251680358354</v>
      </c>
      <c r="H46" s="42" t="n">
        <v>0.000500001</v>
      </c>
      <c r="I46" s="60" t="str">
        <f aca="false">IFERROR(IF(ABS(F46-E46)&lt;=H46,"PASS","FAIL"),"FAIL")</f>
        <v>PASS</v>
      </c>
    </row>
    <row r="47" customFormat="false" ht="15" hidden="false" customHeight="false" outlineLevel="0" collapsed="false">
      <c r="B47" s="61" t="n">
        <v>39</v>
      </c>
      <c r="C47" s="9" t="s">
        <v>725</v>
      </c>
      <c r="D47" s="9" t="s">
        <v>764</v>
      </c>
      <c r="E47" s="11" t="n">
        <v>0.007</v>
      </c>
      <c r="F47" s="62" t="n">
        <f aca="false">Model!$F$6</f>
        <v>0.00708103855232101</v>
      </c>
      <c r="G47" s="31" t="n">
        <f aca="false">IFERROR(F47-E47,"n/a")</f>
        <v>8.10385523210069E-005</v>
      </c>
      <c r="H47" s="42" t="n">
        <v>0.000500001</v>
      </c>
      <c r="I47" s="60" t="str">
        <f aca="false">IFERROR(IF(ABS(F47-E47)&lt;=H47,"PASS","FAIL"),"FAIL")</f>
        <v>PASS</v>
      </c>
    </row>
    <row r="48" customFormat="false" ht="15" hidden="false" customHeight="false" outlineLevel="0" collapsed="false">
      <c r="B48" s="61" t="n">
        <v>40</v>
      </c>
      <c r="C48" s="9" t="s">
        <v>725</v>
      </c>
      <c r="D48" s="9" t="s">
        <v>765</v>
      </c>
      <c r="E48" s="11" t="n">
        <v>0.01</v>
      </c>
      <c r="F48" s="62" t="n">
        <f aca="false">Model!$G$6</f>
        <v>0.01</v>
      </c>
      <c r="G48" s="31" t="n">
        <f aca="false">IFERROR(F48-E48,"n/a")</f>
        <v>0</v>
      </c>
      <c r="H48" s="42" t="n">
        <v>0.000500001</v>
      </c>
      <c r="I48" s="60" t="str">
        <f aca="false">IFERROR(IF(ABS(F48-E48)&lt;=H48,"PASS","FAIL"),"FAIL")</f>
        <v>PASS</v>
      </c>
    </row>
    <row r="49" customFormat="false" ht="15" hidden="false" customHeight="false" outlineLevel="0" collapsed="false">
      <c r="B49" s="61" t="n">
        <v>41</v>
      </c>
      <c r="C49" s="9" t="s">
        <v>725</v>
      </c>
      <c r="D49" s="9" t="s">
        <v>766</v>
      </c>
      <c r="E49" s="11" t="n">
        <v>0.02</v>
      </c>
      <c r="F49" s="62" t="n">
        <f aca="false">Model!$H$6</f>
        <v>0.02</v>
      </c>
      <c r="G49" s="31" t="n">
        <f aca="false">IFERROR(F49-E49,"n/a")</f>
        <v>0</v>
      </c>
      <c r="H49" s="42" t="n">
        <v>0.000500001</v>
      </c>
      <c r="I49" s="60" t="str">
        <f aca="false">IFERROR(IF(ABS(F49-E49)&lt;=H49,"PASS","FAIL"),"FAIL")</f>
        <v>PASS</v>
      </c>
    </row>
    <row r="50" customFormat="false" ht="15" hidden="false" customHeight="false" outlineLevel="0" collapsed="false">
      <c r="B50" s="61" t="n">
        <v>42</v>
      </c>
      <c r="C50" s="9" t="s">
        <v>725</v>
      </c>
      <c r="D50" s="9" t="s">
        <v>767</v>
      </c>
      <c r="E50" s="11" t="n">
        <v>0.025</v>
      </c>
      <c r="F50" s="62" t="n">
        <f aca="false">Model!$I$6</f>
        <v>0.025</v>
      </c>
      <c r="G50" s="31" t="n">
        <f aca="false">IFERROR(F50-E50,"n/a")</f>
        <v>0</v>
      </c>
      <c r="H50" s="42" t="n">
        <v>0.000500001</v>
      </c>
      <c r="I50" s="60" t="str">
        <f aca="false">IFERROR(IF(ABS(F50-E50)&lt;=H50,"PASS","FAIL"),"FAIL")</f>
        <v>PASS</v>
      </c>
    </row>
    <row r="51" customFormat="false" ht="15" hidden="false" customHeight="false" outlineLevel="0" collapsed="false">
      <c r="B51" s="61" t="n">
        <v>43</v>
      </c>
      <c r="C51" s="9" t="s">
        <v>725</v>
      </c>
      <c r="D51" s="9" t="s">
        <v>768</v>
      </c>
      <c r="E51" s="11" t="n">
        <v>0.045</v>
      </c>
      <c r="F51" s="62" t="n">
        <f aca="false">Model!$D$7</f>
        <v>0.045</v>
      </c>
      <c r="G51" s="31" t="n">
        <f aca="false">IFERROR(F51-E51,"n/a")</f>
        <v>0</v>
      </c>
      <c r="H51" s="42" t="n">
        <v>0.000500001</v>
      </c>
      <c r="I51" s="60" t="str">
        <f aca="false">IFERROR(IF(ABS(F51-E51)&lt;=H51,"PASS","FAIL"),"FAIL")</f>
        <v>PASS</v>
      </c>
    </row>
    <row r="52" customFormat="false" ht="15" hidden="false" customHeight="false" outlineLevel="0" collapsed="false">
      <c r="B52" s="61" t="n">
        <v>44</v>
      </c>
      <c r="C52" s="9" t="s">
        <v>725</v>
      </c>
      <c r="D52" s="9" t="s">
        <v>769</v>
      </c>
      <c r="E52" s="11" t="n">
        <v>0.03</v>
      </c>
      <c r="F52" s="62" t="n">
        <f aca="false">Model!$E$7</f>
        <v>0.03</v>
      </c>
      <c r="G52" s="31" t="n">
        <f aca="false">IFERROR(F52-E52,"n/a")</f>
        <v>0</v>
      </c>
      <c r="H52" s="42" t="n">
        <v>0.000500001</v>
      </c>
      <c r="I52" s="60" t="str">
        <f aca="false">IFERROR(IF(ABS(F52-E52)&lt;=H52,"PASS","FAIL"),"FAIL")</f>
        <v>PASS</v>
      </c>
    </row>
    <row r="53" customFormat="false" ht="15" hidden="false" customHeight="false" outlineLevel="0" collapsed="false">
      <c r="B53" s="61" t="n">
        <v>45</v>
      </c>
      <c r="C53" s="9" t="s">
        <v>725</v>
      </c>
      <c r="D53" s="9" t="s">
        <v>770</v>
      </c>
      <c r="E53" s="11" t="n">
        <v>0.025</v>
      </c>
      <c r="F53" s="62" t="n">
        <f aca="false">Model!$F$7</f>
        <v>0.025</v>
      </c>
      <c r="G53" s="31" t="n">
        <f aca="false">IFERROR(F53-E53,"n/a")</f>
        <v>0</v>
      </c>
      <c r="H53" s="42" t="n">
        <v>0.000500001</v>
      </c>
      <c r="I53" s="60" t="str">
        <f aca="false">IFERROR(IF(ABS(F53-E53)&lt;=H53,"PASS","FAIL"),"FAIL")</f>
        <v>PASS</v>
      </c>
    </row>
    <row r="54" customFormat="false" ht="15" hidden="false" customHeight="false" outlineLevel="0" collapsed="false">
      <c r="B54" s="61" t="n">
        <v>46</v>
      </c>
      <c r="C54" s="9" t="s">
        <v>725</v>
      </c>
      <c r="D54" s="9" t="s">
        <v>771</v>
      </c>
      <c r="E54" s="11" t="n">
        <v>0.025</v>
      </c>
      <c r="F54" s="62" t="n">
        <f aca="false">Model!$G$7</f>
        <v>0.025</v>
      </c>
      <c r="G54" s="31" t="n">
        <f aca="false">IFERROR(F54-E54,"n/a")</f>
        <v>0</v>
      </c>
      <c r="H54" s="42" t="n">
        <v>0.000500001</v>
      </c>
      <c r="I54" s="60" t="str">
        <f aca="false">IFERROR(IF(ABS(F54-E54)&lt;=H54,"PASS","FAIL"),"FAIL")</f>
        <v>PASS</v>
      </c>
    </row>
    <row r="55" customFormat="false" ht="15" hidden="false" customHeight="false" outlineLevel="0" collapsed="false">
      <c r="B55" s="61" t="n">
        <v>47</v>
      </c>
      <c r="C55" s="9" t="s">
        <v>725</v>
      </c>
      <c r="D55" s="9" t="s">
        <v>772</v>
      </c>
      <c r="E55" s="11" t="n">
        <v>0.02</v>
      </c>
      <c r="F55" s="62" t="n">
        <f aca="false">Model!$H$7</f>
        <v>0.02</v>
      </c>
      <c r="G55" s="31" t="n">
        <f aca="false">IFERROR(F55-E55,"n/a")</f>
        <v>0</v>
      </c>
      <c r="H55" s="42" t="n">
        <v>0.000500001</v>
      </c>
      <c r="I55" s="60" t="str">
        <f aca="false">IFERROR(IF(ABS(F55-E55)&lt;=H55,"PASS","FAIL"),"FAIL")</f>
        <v>PASS</v>
      </c>
    </row>
    <row r="56" customFormat="false" ht="15" hidden="false" customHeight="false" outlineLevel="0" collapsed="false">
      <c r="B56" s="61" t="n">
        <v>48</v>
      </c>
      <c r="C56" s="9" t="s">
        <v>725</v>
      </c>
      <c r="D56" s="9" t="s">
        <v>773</v>
      </c>
      <c r="E56" s="11" t="n">
        <v>0.02</v>
      </c>
      <c r="F56" s="62" t="n">
        <f aca="false">Model!$I$7</f>
        <v>0.02</v>
      </c>
      <c r="G56" s="31" t="n">
        <f aca="false">IFERROR(F56-E56,"n/a")</f>
        <v>0</v>
      </c>
      <c r="H56" s="42" t="n">
        <v>0.000500001</v>
      </c>
      <c r="I56" s="60" t="str">
        <f aca="false">IFERROR(IF(ABS(F56-E56)&lt;=H56,"PASS","FAIL"),"FAIL")</f>
        <v>PASS</v>
      </c>
    </row>
    <row r="57" customFormat="false" ht="15" hidden="false" customHeight="false" outlineLevel="0" collapsed="false">
      <c r="B57" s="61" t="n">
        <v>49</v>
      </c>
      <c r="C57" s="9" t="s">
        <v>725</v>
      </c>
      <c r="D57" s="9" t="s">
        <v>774</v>
      </c>
      <c r="E57" s="11" t="n">
        <v>0.109</v>
      </c>
      <c r="F57" s="62" t="n">
        <f aca="false">Model!$D$12</f>
        <v>0.108786610878661</v>
      </c>
      <c r="G57" s="31" t="n">
        <f aca="false">IFERROR(F57-E57,"n/a")</f>
        <v>-0.000213389121338961</v>
      </c>
      <c r="H57" s="42" t="n">
        <v>0.000500001</v>
      </c>
      <c r="I57" s="60" t="str">
        <f aca="false">IFERROR(IF(ABS(F57-E57)&lt;=H57,"PASS","FAIL"),"FAIL")</f>
        <v>PASS</v>
      </c>
    </row>
    <row r="58" customFormat="false" ht="15" hidden="false" customHeight="false" outlineLevel="0" collapsed="false">
      <c r="B58" s="61" t="n">
        <v>50</v>
      </c>
      <c r="C58" s="9" t="s">
        <v>725</v>
      </c>
      <c r="D58" s="9" t="s">
        <v>775</v>
      </c>
      <c r="E58" s="11" t="n">
        <v>0.104</v>
      </c>
      <c r="F58" s="62" t="n">
        <f aca="false">Model!$E$12</f>
        <v>0.10377358490566</v>
      </c>
      <c r="G58" s="31" t="n">
        <f aca="false">IFERROR(F58-E58,"n/a")</f>
        <v>-0.00022641509433953</v>
      </c>
      <c r="H58" s="42" t="n">
        <v>0.000500001</v>
      </c>
      <c r="I58" s="60" t="str">
        <f aca="false">IFERROR(IF(ABS(F58-E58)&lt;=H58,"PASS","FAIL"),"FAIL")</f>
        <v>PASS</v>
      </c>
    </row>
    <row r="59" customFormat="false" ht="15" hidden="false" customHeight="false" outlineLevel="0" collapsed="false">
      <c r="B59" s="61" t="n">
        <v>51</v>
      </c>
      <c r="C59" s="9" t="s">
        <v>725</v>
      </c>
      <c r="D59" s="9" t="s">
        <v>776</v>
      </c>
      <c r="E59" s="11" t="n">
        <v>0.094</v>
      </c>
      <c r="F59" s="62" t="n">
        <f aca="false">Model!$F$12</f>
        <v>0.0940170940170941</v>
      </c>
      <c r="G59" s="31" t="n">
        <f aca="false">IFERROR(F59-E59,"n/a")</f>
        <v>1.70940170941269E-005</v>
      </c>
      <c r="H59" s="42" t="n">
        <v>0.000500001</v>
      </c>
      <c r="I59" s="60" t="str">
        <f aca="false">IFERROR(IF(ABS(F59-E59)&lt;=H59,"PASS","FAIL"),"FAIL")</f>
        <v>PASS</v>
      </c>
    </row>
    <row r="60" customFormat="false" ht="15" hidden="false" customHeight="false" outlineLevel="0" collapsed="false">
      <c r="B60" s="61" t="n">
        <v>52</v>
      </c>
      <c r="C60" s="9" t="s">
        <v>725</v>
      </c>
      <c r="D60" s="9" t="s">
        <v>777</v>
      </c>
      <c r="E60" s="11" t="n">
        <v>0.087</v>
      </c>
      <c r="F60" s="62" t="n">
        <f aca="false">Model!$G$12</f>
        <v>0.0865</v>
      </c>
      <c r="G60" s="31" t="n">
        <f aca="false">IFERROR(F60-E60,"n/a")</f>
        <v>-0.000499999999999973</v>
      </c>
      <c r="H60" s="42" t="n">
        <v>0.000500001</v>
      </c>
      <c r="I60" s="60" t="str">
        <f aca="false">IFERROR(IF(ABS(F60-E60)&lt;=H60,"PASS","FAIL"),"FAIL")</f>
        <v>PASS</v>
      </c>
    </row>
    <row r="61" customFormat="false" ht="15" hidden="false" customHeight="false" outlineLevel="0" collapsed="false">
      <c r="B61" s="61" t="n">
        <v>53</v>
      </c>
      <c r="C61" s="9" t="s">
        <v>725</v>
      </c>
      <c r="D61" s="9" t="s">
        <v>778</v>
      </c>
      <c r="E61" s="11" t="n">
        <v>0.092</v>
      </c>
      <c r="F61" s="62" t="n">
        <f aca="false">Model!$H$12</f>
        <v>0.0916249999999999</v>
      </c>
      <c r="G61" s="31" t="n">
        <f aca="false">IFERROR(F61-E61,"n/a")</f>
        <v>-0.000375000000000153</v>
      </c>
      <c r="H61" s="42" t="n">
        <v>0.000500001</v>
      </c>
      <c r="I61" s="60" t="str">
        <f aca="false">IFERROR(IF(ABS(F61-E61)&lt;=H61,"PASS","FAIL"),"FAIL")</f>
        <v>PASS</v>
      </c>
    </row>
    <row r="62" customFormat="false" ht="15" hidden="false" customHeight="false" outlineLevel="0" collapsed="false">
      <c r="B62" s="61" t="n">
        <v>54</v>
      </c>
      <c r="C62" s="9" t="s">
        <v>725</v>
      </c>
      <c r="D62" s="9" t="s">
        <v>779</v>
      </c>
      <c r="E62" s="11" t="n">
        <v>0.081</v>
      </c>
      <c r="F62" s="62" t="n">
        <f aca="false">Model!$I$12</f>
        <v>0.0812000000000002</v>
      </c>
      <c r="G62" s="31" t="n">
        <f aca="false">IFERROR(F62-E62,"n/a")</f>
        <v>0.000200000000000158</v>
      </c>
      <c r="H62" s="42" t="n">
        <v>0.000500001</v>
      </c>
      <c r="I62" s="60" t="str">
        <f aca="false">IFERROR(IF(ABS(F62-E62)&lt;=H62,"PASS","FAIL"),"FAIL")</f>
        <v>PASS</v>
      </c>
    </row>
    <row r="63" customFormat="false" ht="15" hidden="false" customHeight="false" outlineLevel="0" collapsed="false">
      <c r="B63" s="61" t="n">
        <v>55</v>
      </c>
      <c r="C63" s="9" t="s">
        <v>725</v>
      </c>
      <c r="D63" s="9" t="s">
        <v>780</v>
      </c>
      <c r="E63" s="11" t="n">
        <v>0.066</v>
      </c>
      <c r="F63" s="62" t="n">
        <f aca="false">Model!$D$10</f>
        <v>0.0661409719987125</v>
      </c>
      <c r="G63" s="31" t="n">
        <f aca="false">IFERROR(F63-E63,"n/a")</f>
        <v>0.000140971998712491</v>
      </c>
      <c r="H63" s="42" t="n">
        <v>0.000500001</v>
      </c>
      <c r="I63" s="60" t="str">
        <f aca="false">IFERROR(IF(ABS(F63-E63)&lt;=H63,"PASS","FAIL"),"FAIL")</f>
        <v>PASS</v>
      </c>
    </row>
    <row r="64" customFormat="false" ht="15" hidden="false" customHeight="false" outlineLevel="0" collapsed="false">
      <c r="B64" s="61" t="n">
        <v>56</v>
      </c>
      <c r="C64" s="9" t="s">
        <v>725</v>
      </c>
      <c r="D64" s="9" t="s">
        <v>781</v>
      </c>
      <c r="E64" s="11" t="n">
        <v>0.072</v>
      </c>
      <c r="F64" s="62" t="n">
        <f aca="false">Model!$E$10</f>
        <v>0.0716248397142334</v>
      </c>
      <c r="G64" s="31" t="n">
        <f aca="false">IFERROR(F64-E64,"n/a")</f>
        <v>-0.000375160285766618</v>
      </c>
      <c r="H64" s="42" t="n">
        <v>0.000500001</v>
      </c>
      <c r="I64" s="60" t="str">
        <f aca="false">IFERROR(IF(ABS(F64-E64)&lt;=H64,"PASS","FAIL"),"FAIL")</f>
        <v>PASS</v>
      </c>
    </row>
    <row r="65" customFormat="false" ht="15" hidden="false" customHeight="false" outlineLevel="0" collapsed="false">
      <c r="B65" s="61" t="n">
        <v>57</v>
      </c>
      <c r="C65" s="9" t="s">
        <v>725</v>
      </c>
      <c r="D65" s="9" t="s">
        <v>782</v>
      </c>
      <c r="E65" s="11" t="n">
        <v>0.067</v>
      </c>
      <c r="F65" s="62" t="n">
        <f aca="false">Model!$F$10</f>
        <v>0.0673337502605798</v>
      </c>
      <c r="G65" s="31" t="n">
        <f aca="false">IFERROR(F65-E65,"n/a")</f>
        <v>0.000333750260579746</v>
      </c>
      <c r="H65" s="42" t="n">
        <v>0.000500001</v>
      </c>
      <c r="I65" s="60" t="str">
        <f aca="false">IFERROR(IF(ABS(F65-E65)&lt;=H65,"PASS","FAIL"),"FAIL")</f>
        <v>PASS</v>
      </c>
    </row>
    <row r="66" customFormat="false" ht="15" hidden="false" customHeight="false" outlineLevel="0" collapsed="false">
      <c r="B66" s="61" t="n">
        <v>58</v>
      </c>
      <c r="C66" s="9" t="s">
        <v>725</v>
      </c>
      <c r="D66" s="9" t="s">
        <v>783</v>
      </c>
      <c r="E66" s="11" t="n">
        <v>0.06</v>
      </c>
      <c r="F66" s="62" t="n">
        <f aca="false">Model!$G$10</f>
        <v>0.06</v>
      </c>
      <c r="G66" s="31" t="n">
        <f aca="false">IFERROR(F66-E66,"n/a")</f>
        <v>0</v>
      </c>
      <c r="H66" s="42" t="n">
        <v>0.000500001</v>
      </c>
      <c r="I66" s="60" t="str">
        <f aca="false">IFERROR(IF(ABS(F66-E66)&lt;=H66,"PASS","FAIL"),"FAIL")</f>
        <v>PASS</v>
      </c>
    </row>
    <row r="67" customFormat="false" ht="15" hidden="false" customHeight="false" outlineLevel="0" collapsed="false">
      <c r="B67" s="61" t="n">
        <v>59</v>
      </c>
      <c r="C67" s="9" t="s">
        <v>725</v>
      </c>
      <c r="D67" s="9" t="s">
        <v>784</v>
      </c>
      <c r="E67" s="11" t="n">
        <v>0.065</v>
      </c>
      <c r="F67" s="62" t="n">
        <f aca="false">Model!$H$10</f>
        <v>0.065</v>
      </c>
      <c r="G67" s="31" t="n">
        <f aca="false">IFERROR(F67-E67,"n/a")</f>
        <v>0</v>
      </c>
      <c r="H67" s="42" t="n">
        <v>0.000500001</v>
      </c>
      <c r="I67" s="60" t="str">
        <f aca="false">IFERROR(IF(ABS(F67-E67)&lt;=H67,"PASS","FAIL"),"FAIL")</f>
        <v>PASS</v>
      </c>
    </row>
    <row r="68" customFormat="false" ht="15" hidden="false" customHeight="false" outlineLevel="0" collapsed="false">
      <c r="B68" s="61" t="n">
        <v>60</v>
      </c>
      <c r="C68" s="9" t="s">
        <v>725</v>
      </c>
      <c r="D68" s="9" t="s">
        <v>785</v>
      </c>
      <c r="E68" s="11" t="n">
        <v>0.06</v>
      </c>
      <c r="F68" s="62" t="n">
        <f aca="false">Model!$I$10</f>
        <v>0.06</v>
      </c>
      <c r="G68" s="31" t="n">
        <f aca="false">IFERROR(F68-E68,"n/a")</f>
        <v>0</v>
      </c>
      <c r="H68" s="42" t="n">
        <v>0.000500001</v>
      </c>
      <c r="I68" s="60" t="str">
        <f aca="false">IFERROR(IF(ABS(F68-E68)&lt;=H68,"PASS","FAIL"),"FAIL")</f>
        <v>PASS</v>
      </c>
    </row>
    <row r="69" customFormat="false" ht="15" hidden="false" customHeight="false" outlineLevel="0" collapsed="false">
      <c r="B69" s="61" t="n">
        <v>61</v>
      </c>
      <c r="C69" s="9" t="s">
        <v>725</v>
      </c>
      <c r="D69" s="9" t="s">
        <v>786</v>
      </c>
      <c r="E69" s="11" t="n">
        <v>0.04</v>
      </c>
      <c r="F69" s="62" t="n">
        <f aca="false">Model!$D$11</f>
        <v>0.04</v>
      </c>
      <c r="G69" s="31" t="n">
        <f aca="false">IFERROR(F69-E69,"n/a")</f>
        <v>0</v>
      </c>
      <c r="H69" s="42" t="n">
        <v>0.000500001</v>
      </c>
      <c r="I69" s="60" t="str">
        <f aca="false">IFERROR(IF(ABS(F69-E69)&lt;=H69,"PASS","FAIL"),"FAIL")</f>
        <v>PASS</v>
      </c>
    </row>
    <row r="70" customFormat="false" ht="15" hidden="false" customHeight="false" outlineLevel="0" collapsed="false">
      <c r="B70" s="61" t="n">
        <v>62</v>
      </c>
      <c r="C70" s="9" t="s">
        <v>725</v>
      </c>
      <c r="D70" s="9" t="s">
        <v>787</v>
      </c>
      <c r="E70" s="11" t="n">
        <v>0.03</v>
      </c>
      <c r="F70" s="62" t="n">
        <f aca="false">Model!$E$11</f>
        <v>0.03</v>
      </c>
      <c r="G70" s="31" t="n">
        <f aca="false">IFERROR(F70-E70,"n/a")</f>
        <v>0</v>
      </c>
      <c r="H70" s="42" t="n">
        <v>0.000500001</v>
      </c>
      <c r="I70" s="60" t="str">
        <f aca="false">IFERROR(IF(ABS(F70-E70)&lt;=H70,"PASS","FAIL"),"FAIL")</f>
        <v>PASS</v>
      </c>
    </row>
    <row r="71" customFormat="false" ht="15" hidden="false" customHeight="false" outlineLevel="0" collapsed="false">
      <c r="B71" s="61" t="n">
        <v>63</v>
      </c>
      <c r="C71" s="9" t="s">
        <v>725</v>
      </c>
      <c r="D71" s="9" t="s">
        <v>788</v>
      </c>
      <c r="E71" s="11" t="n">
        <v>0.025</v>
      </c>
      <c r="F71" s="62" t="n">
        <f aca="false">Model!$F$11</f>
        <v>0.025</v>
      </c>
      <c r="G71" s="31" t="n">
        <f aca="false">IFERROR(F71-E71,"n/a")</f>
        <v>0</v>
      </c>
      <c r="H71" s="42" t="n">
        <v>0.000500001</v>
      </c>
      <c r="I71" s="60" t="str">
        <f aca="false">IFERROR(IF(ABS(F71-E71)&lt;=H71,"PASS","FAIL"),"FAIL")</f>
        <v>PASS</v>
      </c>
    </row>
    <row r="72" customFormat="false" ht="15" hidden="false" customHeight="false" outlineLevel="0" collapsed="false">
      <c r="B72" s="61" t="n">
        <v>64</v>
      </c>
      <c r="C72" s="9" t="s">
        <v>725</v>
      </c>
      <c r="D72" s="9" t="s">
        <v>789</v>
      </c>
      <c r="E72" s="11" t="n">
        <v>0.025</v>
      </c>
      <c r="F72" s="62" t="n">
        <f aca="false">Model!$G$11</f>
        <v>0.025</v>
      </c>
      <c r="G72" s="31" t="n">
        <f aca="false">IFERROR(F72-E72,"n/a")</f>
        <v>0</v>
      </c>
      <c r="H72" s="42" t="n">
        <v>0.000500001</v>
      </c>
      <c r="I72" s="60" t="str">
        <f aca="false">IFERROR(IF(ABS(F72-E72)&lt;=H72,"PASS","FAIL"),"FAIL")</f>
        <v>PASS</v>
      </c>
    </row>
    <row r="73" customFormat="false" ht="15" hidden="false" customHeight="false" outlineLevel="0" collapsed="false">
      <c r="B73" s="61" t="n">
        <v>65</v>
      </c>
      <c r="C73" s="9" t="s">
        <v>725</v>
      </c>
      <c r="D73" s="9" t="s">
        <v>790</v>
      </c>
      <c r="E73" s="11" t="n">
        <v>0.025</v>
      </c>
      <c r="F73" s="62" t="n">
        <f aca="false">Model!$H$11</f>
        <v>0.025</v>
      </c>
      <c r="G73" s="31" t="n">
        <f aca="false">IFERROR(F73-E73,"n/a")</f>
        <v>0</v>
      </c>
      <c r="H73" s="42" t="n">
        <v>0.000500001</v>
      </c>
      <c r="I73" s="60" t="str">
        <f aca="false">IFERROR(IF(ABS(F73-E73)&lt;=H73,"PASS","FAIL"),"FAIL")</f>
        <v>PASS</v>
      </c>
    </row>
    <row r="74" customFormat="false" ht="15" hidden="false" customHeight="false" outlineLevel="0" collapsed="false">
      <c r="B74" s="61" t="n">
        <v>66</v>
      </c>
      <c r="C74" s="9" t="s">
        <v>725</v>
      </c>
      <c r="D74" s="9" t="s">
        <v>791</v>
      </c>
      <c r="E74" s="11" t="n">
        <v>0.02</v>
      </c>
      <c r="F74" s="62" t="n">
        <f aca="false">Model!$I$11</f>
        <v>0.02</v>
      </c>
      <c r="G74" s="31" t="n">
        <f aca="false">IFERROR(F74-E74,"n/a")</f>
        <v>0</v>
      </c>
      <c r="H74" s="42" t="n">
        <v>0.000500001</v>
      </c>
      <c r="I74" s="60" t="str">
        <f aca="false">IFERROR(IF(ABS(F74-E74)&lt;=H74,"PASS","FAIL"),"FAIL")</f>
        <v>PASS</v>
      </c>
    </row>
    <row r="75" customFormat="false" ht="15" hidden="false" customHeight="false" outlineLevel="0" collapsed="false">
      <c r="B75" s="61" t="n">
        <v>67</v>
      </c>
      <c r="C75" s="9" t="s">
        <v>725</v>
      </c>
      <c r="D75" s="9" t="s">
        <v>792</v>
      </c>
      <c r="E75" s="11" t="n">
        <v>0.08</v>
      </c>
      <c r="F75" s="62" t="n">
        <f aca="false">Model!$D$16</f>
        <v>0.0795454545454546</v>
      </c>
      <c r="G75" s="31" t="n">
        <f aca="false">IFERROR(F75-E75,"n/a")</f>
        <v>-0.000454545454545416</v>
      </c>
      <c r="H75" s="42" t="n">
        <v>0.000500001</v>
      </c>
      <c r="I75" s="60" t="str">
        <f aca="false">IFERROR(IF(ABS(F75-E75)&lt;=H75,"PASS","FAIL"),"FAIL")</f>
        <v>PASS</v>
      </c>
    </row>
    <row r="76" customFormat="false" ht="15" hidden="false" customHeight="false" outlineLevel="0" collapsed="false">
      <c r="B76" s="61" t="n">
        <v>68</v>
      </c>
      <c r="C76" s="9" t="s">
        <v>725</v>
      </c>
      <c r="D76" s="9" t="s">
        <v>793</v>
      </c>
      <c r="E76" s="11" t="n">
        <v>0.079</v>
      </c>
      <c r="F76" s="62" t="n">
        <f aca="false">Model!$E$16</f>
        <v>0.0789473684210527</v>
      </c>
      <c r="G76" s="31" t="n">
        <f aca="false">IFERROR(F76-E76,"n/a")</f>
        <v>-5.26315789473458E-005</v>
      </c>
      <c r="H76" s="42" t="n">
        <v>0.000500001</v>
      </c>
      <c r="I76" s="60" t="str">
        <f aca="false">IFERROR(IF(ABS(F76-E76)&lt;=H76,"PASS","FAIL"),"FAIL")</f>
        <v>PASS</v>
      </c>
    </row>
    <row r="77" customFormat="false" ht="15" hidden="false" customHeight="false" outlineLevel="0" collapsed="false">
      <c r="B77" s="61" t="n">
        <v>69</v>
      </c>
      <c r="C77" s="9" t="s">
        <v>725</v>
      </c>
      <c r="D77" s="9" t="s">
        <v>794</v>
      </c>
      <c r="E77" s="11" t="n">
        <v>0.073</v>
      </c>
      <c r="F77" s="62" t="n">
        <f aca="false">Model!$F$16</f>
        <v>0.0731707317073171</v>
      </c>
      <c r="G77" s="31" t="n">
        <f aca="false">IFERROR(F77-E77,"n/a")</f>
        <v>0.000170731707317143</v>
      </c>
      <c r="H77" s="42" t="n">
        <v>0.000500001</v>
      </c>
      <c r="I77" s="60" t="str">
        <f aca="false">IFERROR(IF(ABS(F77-E77)&lt;=H77,"PASS","FAIL"),"FAIL")</f>
        <v>PASS</v>
      </c>
    </row>
    <row r="78" customFormat="false" ht="15" hidden="false" customHeight="false" outlineLevel="0" collapsed="false">
      <c r="B78" s="61" t="n">
        <v>70</v>
      </c>
      <c r="C78" s="9" t="s">
        <v>725</v>
      </c>
      <c r="D78" s="9" t="s">
        <v>795</v>
      </c>
      <c r="E78" s="11" t="n">
        <v>0.071</v>
      </c>
      <c r="F78" s="62" t="n">
        <f aca="false">Model!$G$16</f>
        <v>0.0712000000000002</v>
      </c>
      <c r="G78" s="31" t="n">
        <f aca="false">IFERROR(F78-E78,"n/a")</f>
        <v>0.000200000000000158</v>
      </c>
      <c r="H78" s="42" t="n">
        <v>0.000500001</v>
      </c>
      <c r="I78" s="60" t="str">
        <f aca="false">IFERROR(IF(ABS(F78-E78)&lt;=H78,"PASS","FAIL"),"FAIL")</f>
        <v>PASS</v>
      </c>
    </row>
    <row r="79" customFormat="false" ht="15" hidden="false" customHeight="false" outlineLevel="0" collapsed="false">
      <c r="B79" s="61" t="n">
        <v>71</v>
      </c>
      <c r="C79" s="9" t="s">
        <v>725</v>
      </c>
      <c r="D79" s="9" t="s">
        <v>796</v>
      </c>
      <c r="E79" s="11" t="n">
        <v>0.076</v>
      </c>
      <c r="F79" s="62" t="n">
        <f aca="false">Model!$H$16</f>
        <v>0.0763499999999999</v>
      </c>
      <c r="G79" s="31" t="n">
        <f aca="false">IFERROR(F79-E79,"n/a")</f>
        <v>0.00034999999999992</v>
      </c>
      <c r="H79" s="42" t="n">
        <v>0.000500001</v>
      </c>
      <c r="I79" s="60" t="str">
        <f aca="false">IFERROR(IF(ABS(F79-E79)&lt;=H79,"PASS","FAIL"),"FAIL")</f>
        <v>PASS</v>
      </c>
    </row>
    <row r="80" customFormat="false" ht="15" hidden="false" customHeight="false" outlineLevel="0" collapsed="false">
      <c r="B80" s="61" t="n">
        <v>72</v>
      </c>
      <c r="C80" s="9" t="s">
        <v>725</v>
      </c>
      <c r="D80" s="9" t="s">
        <v>797</v>
      </c>
      <c r="E80" s="11" t="n">
        <v>0.076</v>
      </c>
      <c r="F80" s="62" t="n">
        <f aca="false">Model!$I$16</f>
        <v>0.0763499999999999</v>
      </c>
      <c r="G80" s="31" t="n">
        <f aca="false">IFERROR(F80-E80,"n/a")</f>
        <v>0.00034999999999992</v>
      </c>
      <c r="H80" s="42" t="n">
        <v>0.000500001</v>
      </c>
      <c r="I80" s="60" t="str">
        <f aca="false">IFERROR(IF(ABS(F80-E80)&lt;=H80,"PASS","FAIL"),"FAIL")</f>
        <v>PASS</v>
      </c>
    </row>
    <row r="81" customFormat="false" ht="15" hidden="false" customHeight="false" outlineLevel="0" collapsed="false">
      <c r="B81" s="61" t="n">
        <v>73</v>
      </c>
      <c r="C81" s="9" t="s">
        <v>725</v>
      </c>
      <c r="D81" s="9" t="s">
        <v>798</v>
      </c>
      <c r="E81" s="11" t="n">
        <v>0.028</v>
      </c>
      <c r="F81" s="62" t="n">
        <f aca="false">Model!$D$14</f>
        <v>0.0281385281385282</v>
      </c>
      <c r="G81" s="31" t="n">
        <f aca="false">IFERROR(F81-E81,"n/a")</f>
        <v>0.00013852813852824</v>
      </c>
      <c r="H81" s="42" t="n">
        <v>0.000500001</v>
      </c>
      <c r="I81" s="60" t="str">
        <f aca="false">IFERROR(IF(ABS(F81-E81)&lt;=H81,"PASS","FAIL"),"FAIL")</f>
        <v>PASS</v>
      </c>
    </row>
    <row r="82" customFormat="false" ht="15" hidden="false" customHeight="false" outlineLevel="0" collapsed="false">
      <c r="B82" s="61" t="n">
        <v>74</v>
      </c>
      <c r="C82" s="9" t="s">
        <v>725</v>
      </c>
      <c r="D82" s="9" t="s">
        <v>799</v>
      </c>
      <c r="E82" s="11" t="n">
        <v>0.042</v>
      </c>
      <c r="F82" s="62" t="n">
        <f aca="false">Model!$E$14</f>
        <v>0.0424612255275871</v>
      </c>
      <c r="G82" s="31" t="n">
        <f aca="false">IFERROR(F82-E82,"n/a")</f>
        <v>0.000461225527587129</v>
      </c>
      <c r="H82" s="42" t="n">
        <v>0.000500001</v>
      </c>
      <c r="I82" s="60" t="str">
        <f aca="false">IFERROR(IF(ABS(F82-E82)&lt;=H82,"PASS","FAIL"),"FAIL")</f>
        <v>PASS</v>
      </c>
    </row>
    <row r="83" customFormat="false" ht="15" hidden="false" customHeight="false" outlineLevel="0" collapsed="false">
      <c r="B83" s="61" t="n">
        <v>75</v>
      </c>
      <c r="C83" s="9" t="s">
        <v>725</v>
      </c>
      <c r="D83" s="9" t="s">
        <v>800</v>
      </c>
      <c r="E83" s="11" t="n">
        <v>0.042</v>
      </c>
      <c r="F83" s="62" t="n">
        <f aca="false">Model!$F$14</f>
        <v>0.0419133317546767</v>
      </c>
      <c r="G83" s="31" t="n">
        <f aca="false">IFERROR(F83-E83,"n/a")</f>
        <v>-8.66682453232945E-005</v>
      </c>
      <c r="H83" s="42" t="n">
        <v>0.000500001</v>
      </c>
      <c r="I83" s="60" t="str">
        <f aca="false">IFERROR(IF(ABS(F83-E83)&lt;=H83,"PASS","FAIL"),"FAIL")</f>
        <v>PASS</v>
      </c>
    </row>
    <row r="84" customFormat="false" ht="15" hidden="false" customHeight="false" outlineLevel="0" collapsed="false">
      <c r="B84" s="61" t="n">
        <v>76</v>
      </c>
      <c r="C84" s="9" t="s">
        <v>725</v>
      </c>
      <c r="D84" s="9" t="s">
        <v>801</v>
      </c>
      <c r="E84" s="11" t="n">
        <v>0.04</v>
      </c>
      <c r="F84" s="62" t="n">
        <f aca="false">Model!$G$14</f>
        <v>0.04</v>
      </c>
      <c r="G84" s="31" t="n">
        <f aca="false">IFERROR(F84-E84,"n/a")</f>
        <v>0</v>
      </c>
      <c r="H84" s="42" t="n">
        <v>0.000500001</v>
      </c>
      <c r="I84" s="60" t="str">
        <f aca="false">IFERROR(IF(ABS(F84-E84)&lt;=H84,"PASS","FAIL"),"FAIL")</f>
        <v>PASS</v>
      </c>
    </row>
    <row r="85" customFormat="false" ht="15" hidden="false" customHeight="false" outlineLevel="0" collapsed="false">
      <c r="B85" s="61" t="n">
        <v>77</v>
      </c>
      <c r="C85" s="9" t="s">
        <v>725</v>
      </c>
      <c r="D85" s="9" t="s">
        <v>802</v>
      </c>
      <c r="E85" s="11" t="n">
        <v>0.045</v>
      </c>
      <c r="F85" s="62" t="n">
        <f aca="false">Model!$H$14</f>
        <v>0.045</v>
      </c>
      <c r="G85" s="31" t="n">
        <f aca="false">IFERROR(F85-E85,"n/a")</f>
        <v>0</v>
      </c>
      <c r="H85" s="42" t="n">
        <v>0.000500001</v>
      </c>
      <c r="I85" s="60" t="str">
        <f aca="false">IFERROR(IF(ABS(F85-E85)&lt;=H85,"PASS","FAIL"),"FAIL")</f>
        <v>PASS</v>
      </c>
    </row>
    <row r="86" customFormat="false" ht="15" hidden="false" customHeight="false" outlineLevel="0" collapsed="false">
      <c r="B86" s="61" t="n">
        <v>78</v>
      </c>
      <c r="C86" s="9" t="s">
        <v>725</v>
      </c>
      <c r="D86" s="9" t="s">
        <v>803</v>
      </c>
      <c r="E86" s="11" t="n">
        <v>0.045</v>
      </c>
      <c r="F86" s="62" t="n">
        <f aca="false">Model!$I$14</f>
        <v>0.045</v>
      </c>
      <c r="G86" s="31" t="n">
        <f aca="false">IFERROR(F86-E86,"n/a")</f>
        <v>0</v>
      </c>
      <c r="H86" s="42" t="n">
        <v>0.000500001</v>
      </c>
      <c r="I86" s="60" t="str">
        <f aca="false">IFERROR(IF(ABS(F86-E86)&lt;=H86,"PASS","FAIL"),"FAIL")</f>
        <v>PASS</v>
      </c>
    </row>
    <row r="87" customFormat="false" ht="15" hidden="false" customHeight="false" outlineLevel="0" collapsed="false">
      <c r="B87" s="61" t="n">
        <v>79</v>
      </c>
      <c r="C87" s="9" t="s">
        <v>725</v>
      </c>
      <c r="D87" s="9" t="s">
        <v>804</v>
      </c>
      <c r="E87" s="11" t="n">
        <v>0.05</v>
      </c>
      <c r="F87" s="62" t="n">
        <f aca="false">Model!$D$15</f>
        <v>0.05</v>
      </c>
      <c r="G87" s="31" t="n">
        <f aca="false">IFERROR(F87-E87,"n/a")</f>
        <v>0</v>
      </c>
      <c r="H87" s="42" t="n">
        <v>0.000500001</v>
      </c>
      <c r="I87" s="60" t="str">
        <f aca="false">IFERROR(IF(ABS(F87-E87)&lt;=H87,"PASS","FAIL"),"FAIL")</f>
        <v>PASS</v>
      </c>
    </row>
    <row r="88" customFormat="false" ht="15" hidden="false" customHeight="false" outlineLevel="0" collapsed="false">
      <c r="B88" s="61" t="n">
        <v>80</v>
      </c>
      <c r="C88" s="9" t="s">
        <v>725</v>
      </c>
      <c r="D88" s="9" t="s">
        <v>805</v>
      </c>
      <c r="E88" s="11" t="n">
        <v>0.035</v>
      </c>
      <c r="F88" s="62" t="n">
        <f aca="false">Model!$E$15</f>
        <v>0.035</v>
      </c>
      <c r="G88" s="31" t="n">
        <f aca="false">IFERROR(F88-E88,"n/a")</f>
        <v>0</v>
      </c>
      <c r="H88" s="42" t="n">
        <v>0.000500001</v>
      </c>
      <c r="I88" s="60" t="str">
        <f aca="false">IFERROR(IF(ABS(F88-E88)&lt;=H88,"PASS","FAIL"),"FAIL")</f>
        <v>PASS</v>
      </c>
    </row>
    <row r="89" customFormat="false" ht="15" hidden="false" customHeight="false" outlineLevel="0" collapsed="false">
      <c r="B89" s="61" t="n">
        <v>81</v>
      </c>
      <c r="C89" s="9" t="s">
        <v>725</v>
      </c>
      <c r="D89" s="9" t="s">
        <v>806</v>
      </c>
      <c r="E89" s="11" t="n">
        <v>0.03</v>
      </c>
      <c r="F89" s="62" t="n">
        <f aca="false">Model!$F$15</f>
        <v>0.03</v>
      </c>
      <c r="G89" s="31" t="n">
        <f aca="false">IFERROR(F89-E89,"n/a")</f>
        <v>0</v>
      </c>
      <c r="H89" s="42" t="n">
        <v>0.000500001</v>
      </c>
      <c r="I89" s="60" t="str">
        <f aca="false">IFERROR(IF(ABS(F89-E89)&lt;=H89,"PASS","FAIL"),"FAIL")</f>
        <v>PASS</v>
      </c>
    </row>
    <row r="90" customFormat="false" ht="15" hidden="false" customHeight="false" outlineLevel="0" collapsed="false">
      <c r="B90" s="61" t="n">
        <v>82</v>
      </c>
      <c r="C90" s="9" t="s">
        <v>725</v>
      </c>
      <c r="D90" s="9" t="s">
        <v>807</v>
      </c>
      <c r="E90" s="11" t="n">
        <v>0.03</v>
      </c>
      <c r="F90" s="62" t="n">
        <f aca="false">Model!$G$15</f>
        <v>0.03</v>
      </c>
      <c r="G90" s="31" t="n">
        <f aca="false">IFERROR(F90-E90,"n/a")</f>
        <v>0</v>
      </c>
      <c r="H90" s="42" t="n">
        <v>0.000500001</v>
      </c>
      <c r="I90" s="60" t="str">
        <f aca="false">IFERROR(IF(ABS(F90-E90)&lt;=H90,"PASS","FAIL"),"FAIL")</f>
        <v>PASS</v>
      </c>
    </row>
    <row r="91" customFormat="false" ht="15" hidden="false" customHeight="false" outlineLevel="0" collapsed="false">
      <c r="B91" s="61" t="n">
        <v>83</v>
      </c>
      <c r="C91" s="9" t="s">
        <v>725</v>
      </c>
      <c r="D91" s="9" t="s">
        <v>808</v>
      </c>
      <c r="E91" s="11" t="n">
        <v>0.03</v>
      </c>
      <c r="F91" s="62" t="n">
        <f aca="false">Model!$H$15</f>
        <v>0.03</v>
      </c>
      <c r="G91" s="31" t="n">
        <f aca="false">IFERROR(F91-E91,"n/a")</f>
        <v>0</v>
      </c>
      <c r="H91" s="42" t="n">
        <v>0.000500001</v>
      </c>
      <c r="I91" s="60" t="str">
        <f aca="false">IFERROR(IF(ABS(F91-E91)&lt;=H91,"PASS","FAIL"),"FAIL")</f>
        <v>PASS</v>
      </c>
    </row>
    <row r="92" customFormat="false" ht="15" hidden="false" customHeight="false" outlineLevel="0" collapsed="false">
      <c r="B92" s="61" t="n">
        <v>84</v>
      </c>
      <c r="C92" s="9" t="s">
        <v>725</v>
      </c>
      <c r="D92" s="9" t="s">
        <v>809</v>
      </c>
      <c r="E92" s="11" t="n">
        <v>0.03</v>
      </c>
      <c r="F92" s="62" t="n">
        <f aca="false">Model!$I$15</f>
        <v>0.03</v>
      </c>
      <c r="G92" s="31" t="n">
        <f aca="false">IFERROR(F92-E92,"n/a")</f>
        <v>0</v>
      </c>
      <c r="H92" s="42" t="n">
        <v>0.000500001</v>
      </c>
      <c r="I92" s="60" t="str">
        <f aca="false">IFERROR(IF(ABS(F92-E92)&lt;=H92,"PASS","FAIL"),"FAIL")</f>
        <v>PASS</v>
      </c>
    </row>
    <row r="93" customFormat="false" ht="15" hidden="false" customHeight="false" outlineLevel="0" collapsed="false">
      <c r="B93" s="61" t="n">
        <v>85</v>
      </c>
      <c r="C93" s="9" t="s">
        <v>725</v>
      </c>
      <c r="D93" s="9" t="s">
        <v>810</v>
      </c>
      <c r="E93" s="11" t="n">
        <v>0.121</v>
      </c>
      <c r="F93" s="62" t="n">
        <f aca="false">Model!$D$21</f>
        <v>0.121</v>
      </c>
      <c r="G93" s="31" t="n">
        <f aca="false">IFERROR(F93-E93,"n/a")</f>
        <v>0</v>
      </c>
      <c r="H93" s="42" t="n">
        <v>0.000500001</v>
      </c>
      <c r="I93" s="60" t="str">
        <f aca="false">IFERROR(IF(ABS(F93-E93)&lt;=H93,"PASS","FAIL"),"FAIL")</f>
        <v>PASS</v>
      </c>
    </row>
    <row r="94" customFormat="false" ht="15" hidden="false" customHeight="false" outlineLevel="0" collapsed="false">
      <c r="B94" s="61" t="n">
        <v>86</v>
      </c>
      <c r="C94" s="9" t="s">
        <v>725</v>
      </c>
      <c r="D94" s="9" t="s">
        <v>811</v>
      </c>
      <c r="E94" s="11" t="n">
        <v>0.126</v>
      </c>
      <c r="F94" s="62" t="n">
        <f aca="false">Model!$E$21</f>
        <v>0.126</v>
      </c>
      <c r="G94" s="31" t="n">
        <f aca="false">IFERROR(F94-E94,"n/a")</f>
        <v>0</v>
      </c>
      <c r="H94" s="42" t="n">
        <v>0.000500001</v>
      </c>
      <c r="I94" s="60" t="str">
        <f aca="false">IFERROR(IF(ABS(F94-E94)&lt;=H94,"PASS","FAIL"),"FAIL")</f>
        <v>PASS</v>
      </c>
    </row>
    <row r="95" customFormat="false" ht="15" hidden="false" customHeight="false" outlineLevel="0" collapsed="false">
      <c r="B95" s="61" t="n">
        <v>87</v>
      </c>
      <c r="C95" s="9" t="s">
        <v>725</v>
      </c>
      <c r="D95" s="9" t="s">
        <v>812</v>
      </c>
      <c r="E95" s="11" t="n">
        <v>0.13</v>
      </c>
      <c r="F95" s="62" t="n">
        <f aca="false">Model!$F$21</f>
        <v>0.13</v>
      </c>
      <c r="G95" s="31" t="n">
        <f aca="false">IFERROR(F95-E95,"n/a")</f>
        <v>0</v>
      </c>
      <c r="H95" s="42" t="n">
        <v>0.000500001</v>
      </c>
      <c r="I95" s="60" t="str">
        <f aca="false">IFERROR(IF(ABS(F95-E95)&lt;=H95,"PASS","FAIL"),"FAIL")</f>
        <v>PASS</v>
      </c>
    </row>
    <row r="96" customFormat="false" ht="15" hidden="false" customHeight="false" outlineLevel="0" collapsed="false">
      <c r="B96" s="61" t="n">
        <v>88</v>
      </c>
      <c r="C96" s="9" t="s">
        <v>725</v>
      </c>
      <c r="D96" s="9" t="s">
        <v>813</v>
      </c>
      <c r="E96" s="11" t="n">
        <v>0.132</v>
      </c>
      <c r="F96" s="62" t="n">
        <f aca="false">Model!$G$21</f>
        <v>0.132</v>
      </c>
      <c r="G96" s="31" t="n">
        <f aca="false">IFERROR(F96-E96,"n/a")</f>
        <v>0</v>
      </c>
      <c r="H96" s="42" t="n">
        <v>0.000500001</v>
      </c>
      <c r="I96" s="60" t="str">
        <f aca="false">IFERROR(IF(ABS(F96-E96)&lt;=H96,"PASS","FAIL"),"FAIL")</f>
        <v>PASS</v>
      </c>
    </row>
    <row r="97" customFormat="false" ht="15" hidden="false" customHeight="false" outlineLevel="0" collapsed="false">
      <c r="B97" s="61" t="n">
        <v>89</v>
      </c>
      <c r="C97" s="9" t="s">
        <v>725</v>
      </c>
      <c r="D97" s="9" t="s">
        <v>814</v>
      </c>
      <c r="E97" s="11" t="n">
        <v>0.136</v>
      </c>
      <c r="F97" s="62" t="n">
        <f aca="false">Model!$H$21</f>
        <v>0.136</v>
      </c>
      <c r="G97" s="31" t="n">
        <f aca="false">IFERROR(F97-E97,"n/a")</f>
        <v>0</v>
      </c>
      <c r="H97" s="42" t="n">
        <v>0.000500001</v>
      </c>
      <c r="I97" s="60" t="str">
        <f aca="false">IFERROR(IF(ABS(F97-E97)&lt;=H97,"PASS","FAIL"),"FAIL")</f>
        <v>PASS</v>
      </c>
    </row>
    <row r="98" customFormat="false" ht="15" hidden="false" customHeight="false" outlineLevel="0" collapsed="false">
      <c r="B98" s="61" t="n">
        <v>90</v>
      </c>
      <c r="C98" s="9" t="s">
        <v>725</v>
      </c>
      <c r="D98" s="9" t="s">
        <v>815</v>
      </c>
      <c r="E98" s="11" t="n">
        <v>0.14</v>
      </c>
      <c r="F98" s="62" t="n">
        <f aca="false">Model!$I$21</f>
        <v>0.14</v>
      </c>
      <c r="G98" s="31" t="n">
        <f aca="false">IFERROR(F98-E98,"n/a")</f>
        <v>0</v>
      </c>
      <c r="H98" s="42" t="n">
        <v>0.000500001</v>
      </c>
      <c r="I98" s="60" t="str">
        <f aca="false">IFERROR(IF(ABS(F98-E98)&lt;=H98,"PASS","FAIL"),"FAIL")</f>
        <v>PASS</v>
      </c>
    </row>
    <row r="99" customFormat="false" ht="15" hidden="false" customHeight="false" outlineLevel="0" collapsed="false">
      <c r="B99" s="61" t="n">
        <v>91</v>
      </c>
      <c r="C99" s="9" t="s">
        <v>725</v>
      </c>
      <c r="D99" s="9" t="s">
        <v>816</v>
      </c>
      <c r="E99" s="12" t="n">
        <v>125.8</v>
      </c>
      <c r="F99" s="56" t="n">
        <f aca="false">Model!$D$22</f>
        <v>125.84</v>
      </c>
      <c r="G99" s="31" t="n">
        <f aca="false">IFERROR(F99-E99,"n/a")</f>
        <v>0.0400000000000063</v>
      </c>
      <c r="H99" s="42" t="n">
        <v>0.050000001</v>
      </c>
      <c r="I99" s="60" t="str">
        <f aca="false">IFERROR(IF(ABS(F99-E99)&lt;=H99,"PASS","FAIL"),"FAIL")</f>
        <v>PASS</v>
      </c>
    </row>
    <row r="100" customFormat="false" ht="15" hidden="false" customHeight="false" outlineLevel="0" collapsed="false">
      <c r="B100" s="61" t="n">
        <v>92</v>
      </c>
      <c r="C100" s="9" t="s">
        <v>725</v>
      </c>
      <c r="D100" s="9" t="s">
        <v>817</v>
      </c>
      <c r="E100" s="12" t="n">
        <v>136.7</v>
      </c>
      <c r="F100" s="56" t="n">
        <f aca="false">Model!$E$22</f>
        <v>136.71</v>
      </c>
      <c r="G100" s="31" t="n">
        <f aca="false">IFERROR(F100-E100,"n/a")</f>
        <v>0.0100000000000193</v>
      </c>
      <c r="H100" s="42" t="n">
        <v>0.050000001</v>
      </c>
      <c r="I100" s="60" t="str">
        <f aca="false">IFERROR(IF(ABS(F100-E100)&lt;=H100,"PASS","FAIL"),"FAIL")</f>
        <v>PASS</v>
      </c>
    </row>
    <row r="101" customFormat="false" ht="15" hidden="false" customHeight="false" outlineLevel="0" collapsed="false">
      <c r="B101" s="61" t="n">
        <v>93</v>
      </c>
      <c r="C101" s="9" t="s">
        <v>725</v>
      </c>
      <c r="D101" s="9" t="s">
        <v>818</v>
      </c>
      <c r="E101" s="12" t="n">
        <v>145.6</v>
      </c>
      <c r="F101" s="56" t="n">
        <f aca="false">Model!$F$22</f>
        <v>145.6</v>
      </c>
      <c r="G101" s="31" t="n">
        <f aca="false">IFERROR(F101-E101,"n/a")</f>
        <v>0</v>
      </c>
      <c r="H101" s="42" t="n">
        <v>0.050000001</v>
      </c>
      <c r="I101" s="60" t="str">
        <f aca="false">IFERROR(IF(ABS(F101-E101)&lt;=H101,"PASS","FAIL"),"FAIL")</f>
        <v>PASS</v>
      </c>
    </row>
    <row r="102" customFormat="false" ht="15" hidden="false" customHeight="false" outlineLevel="0" collapsed="false">
      <c r="B102" s="61" t="n">
        <v>94</v>
      </c>
      <c r="C102" s="9" t="s">
        <v>725</v>
      </c>
      <c r="D102" s="9" t="s">
        <v>819</v>
      </c>
      <c r="E102" s="12" t="n">
        <v>153.1</v>
      </c>
      <c r="F102" s="56" t="n">
        <f aca="false">Model!$G$22</f>
        <v>153.05136</v>
      </c>
      <c r="G102" s="31" t="n">
        <f aca="false">IFERROR(F102-E102,"n/a")</f>
        <v>-0.0486399999999776</v>
      </c>
      <c r="H102" s="42" t="n">
        <v>0.050000001</v>
      </c>
      <c r="I102" s="60" t="str">
        <f aca="false">IFERROR(IF(ABS(F102-E102)&lt;=H102,"PASS","FAIL"),"FAIL")</f>
        <v>PASS</v>
      </c>
    </row>
    <row r="103" customFormat="false" ht="15" hidden="false" customHeight="false" outlineLevel="0" collapsed="false">
      <c r="B103" s="61" t="n">
        <v>95</v>
      </c>
      <c r="C103" s="9" t="s">
        <v>725</v>
      </c>
      <c r="D103" s="9" t="s">
        <v>820</v>
      </c>
      <c r="E103" s="12" t="n">
        <v>164.1</v>
      </c>
      <c r="F103" s="56" t="n">
        <f aca="false">Model!$H$22</f>
        <v>164.059926912</v>
      </c>
      <c r="G103" s="31" t="n">
        <f aca="false">IFERROR(F103-E103,"n/a")</f>
        <v>-0.0400730879999571</v>
      </c>
      <c r="H103" s="42" t="n">
        <v>0.050000001</v>
      </c>
      <c r="I103" s="60" t="str">
        <f aca="false">IFERROR(IF(ABS(F103-E103)&lt;=H103,"PASS","FAIL"),"FAIL")</f>
        <v>PASS</v>
      </c>
    </row>
    <row r="104" customFormat="false" ht="15" hidden="false" customHeight="false" outlineLevel="0" collapsed="false">
      <c r="B104" s="61" t="n">
        <v>96</v>
      </c>
      <c r="C104" s="9" t="s">
        <v>725</v>
      </c>
      <c r="D104" s="9" t="s">
        <v>821</v>
      </c>
      <c r="E104" s="12" t="n">
        <v>176.6</v>
      </c>
      <c r="F104" s="56" t="n">
        <f aca="false">Model!$I$22</f>
        <v>176.56949633904</v>
      </c>
      <c r="G104" s="31" t="n">
        <f aca="false">IFERROR(F104-E104,"n/a")</f>
        <v>-0.0305036609599654</v>
      </c>
      <c r="H104" s="42" t="n">
        <v>0.050000001</v>
      </c>
      <c r="I104" s="60" t="str">
        <f aca="false">IFERROR(IF(ABS(F104-E104)&lt;=H104,"PASS","FAIL"),"FAIL")</f>
        <v>PASS</v>
      </c>
    </row>
    <row r="105" customFormat="false" ht="15" hidden="false" customHeight="false" outlineLevel="0" collapsed="false">
      <c r="B105" s="61" t="n">
        <v>97</v>
      </c>
      <c r="C105" s="9" t="s">
        <v>725</v>
      </c>
      <c r="D105" s="9" t="s">
        <v>822</v>
      </c>
      <c r="E105" s="11" t="n">
        <v>0.195</v>
      </c>
      <c r="F105" s="62" t="n">
        <f aca="false">Model!$D$23</f>
        <v>0.195</v>
      </c>
      <c r="G105" s="31" t="n">
        <f aca="false">IFERROR(F105-E105,"n/a")</f>
        <v>0</v>
      </c>
      <c r="H105" s="42" t="n">
        <v>0.000500001</v>
      </c>
      <c r="I105" s="60" t="str">
        <f aca="false">IFERROR(IF(ABS(F105-E105)&lt;=H105,"PASS","FAIL"),"FAIL")</f>
        <v>PASS</v>
      </c>
    </row>
    <row r="106" customFormat="false" ht="15" hidden="false" customHeight="false" outlineLevel="0" collapsed="false">
      <c r="B106" s="61" t="n">
        <v>98</v>
      </c>
      <c r="C106" s="9" t="s">
        <v>725</v>
      </c>
      <c r="D106" s="9" t="s">
        <v>823</v>
      </c>
      <c r="E106" s="11" t="n">
        <v>0.203</v>
      </c>
      <c r="F106" s="62" t="n">
        <f aca="false">Model!$E$23</f>
        <v>0.203</v>
      </c>
      <c r="G106" s="31" t="n">
        <f aca="false">IFERROR(F106-E106,"n/a")</f>
        <v>0</v>
      </c>
      <c r="H106" s="42" t="n">
        <v>0.000500001</v>
      </c>
      <c r="I106" s="60" t="str">
        <f aca="false">IFERROR(IF(ABS(F106-E106)&lt;=H106,"PASS","FAIL"),"FAIL")</f>
        <v>PASS</v>
      </c>
    </row>
    <row r="107" customFormat="false" ht="15" hidden="false" customHeight="false" outlineLevel="0" collapsed="false">
      <c r="B107" s="61" t="n">
        <v>99</v>
      </c>
      <c r="C107" s="9" t="s">
        <v>725</v>
      </c>
      <c r="D107" s="9" t="s">
        <v>824</v>
      </c>
      <c r="E107" s="11" t="n">
        <v>0.21</v>
      </c>
      <c r="F107" s="62" t="n">
        <f aca="false">Model!$F$23</f>
        <v>0.21</v>
      </c>
      <c r="G107" s="31" t="n">
        <f aca="false">IFERROR(F107-E107,"n/a")</f>
        <v>0</v>
      </c>
      <c r="H107" s="42" t="n">
        <v>0.000500001</v>
      </c>
      <c r="I107" s="60" t="str">
        <f aca="false">IFERROR(IF(ABS(F107-E107)&lt;=H107,"PASS","FAIL"),"FAIL")</f>
        <v>PASS</v>
      </c>
    </row>
    <row r="108" customFormat="false" ht="15" hidden="false" customHeight="false" outlineLevel="0" collapsed="false">
      <c r="B108" s="61" t="n">
        <v>100</v>
      </c>
      <c r="C108" s="9" t="s">
        <v>725</v>
      </c>
      <c r="D108" s="9" t="s">
        <v>825</v>
      </c>
      <c r="E108" s="11" t="n">
        <v>0.218</v>
      </c>
      <c r="F108" s="62" t="n">
        <f aca="false">Model!$G$23</f>
        <v>0.218</v>
      </c>
      <c r="G108" s="31" t="n">
        <f aca="false">IFERROR(F108-E108,"n/a")</f>
        <v>0</v>
      </c>
      <c r="H108" s="42" t="n">
        <v>0.000500001</v>
      </c>
      <c r="I108" s="60" t="str">
        <f aca="false">IFERROR(IF(ABS(F108-E108)&lt;=H108,"PASS","FAIL"),"FAIL")</f>
        <v>PASS</v>
      </c>
    </row>
    <row r="109" customFormat="false" ht="15" hidden="false" customHeight="false" outlineLevel="0" collapsed="false">
      <c r="B109" s="61" t="n">
        <v>101</v>
      </c>
      <c r="C109" s="9" t="s">
        <v>725</v>
      </c>
      <c r="D109" s="9" t="s">
        <v>826</v>
      </c>
      <c r="E109" s="11" t="n">
        <v>0.225</v>
      </c>
      <c r="F109" s="62" t="n">
        <f aca="false">Model!$H$23</f>
        <v>0.225</v>
      </c>
      <c r="G109" s="31" t="n">
        <f aca="false">IFERROR(F109-E109,"n/a")</f>
        <v>0</v>
      </c>
      <c r="H109" s="42" t="n">
        <v>0.000500001</v>
      </c>
      <c r="I109" s="60" t="str">
        <f aca="false">IFERROR(IF(ABS(F109-E109)&lt;=H109,"PASS","FAIL"),"FAIL")</f>
        <v>PASS</v>
      </c>
    </row>
    <row r="110" customFormat="false" ht="15" hidden="false" customHeight="false" outlineLevel="0" collapsed="false">
      <c r="B110" s="61" t="n">
        <v>102</v>
      </c>
      <c r="C110" s="9" t="s">
        <v>725</v>
      </c>
      <c r="D110" s="9" t="s">
        <v>827</v>
      </c>
      <c r="E110" s="11" t="n">
        <v>0.23</v>
      </c>
      <c r="F110" s="62" t="n">
        <f aca="false">Model!$I$23</f>
        <v>0.23</v>
      </c>
      <c r="G110" s="31" t="n">
        <f aca="false">IFERROR(F110-E110,"n/a")</f>
        <v>0</v>
      </c>
      <c r="H110" s="42" t="n">
        <v>0.000500001</v>
      </c>
      <c r="I110" s="60" t="str">
        <f aca="false">IFERROR(IF(ABS(F110-E110)&lt;=H110,"PASS","FAIL"),"FAIL")</f>
        <v>PASS</v>
      </c>
    </row>
    <row r="111" customFormat="false" ht="15" hidden="false" customHeight="false" outlineLevel="0" collapsed="false">
      <c r="B111" s="61" t="n">
        <v>103</v>
      </c>
      <c r="C111" s="9" t="s">
        <v>725</v>
      </c>
      <c r="D111" s="9" t="s">
        <v>828</v>
      </c>
      <c r="E111" s="12" t="n">
        <v>103.4</v>
      </c>
      <c r="F111" s="56" t="n">
        <f aca="false">Model!$D$24</f>
        <v>103.35</v>
      </c>
      <c r="G111" s="31" t="n">
        <f aca="false">IFERROR(F111-E111,"n/a")</f>
        <v>-0.0499999999999972</v>
      </c>
      <c r="H111" s="42" t="n">
        <v>0.050000001</v>
      </c>
      <c r="I111" s="60" t="str">
        <f aca="false">IFERROR(IF(ABS(F111-E111)&lt;=H111,"PASS","FAIL"),"FAIL")</f>
        <v>PASS</v>
      </c>
    </row>
    <row r="112" customFormat="false" ht="15" hidden="false" customHeight="false" outlineLevel="0" collapsed="false">
      <c r="B112" s="61" t="n">
        <v>104</v>
      </c>
      <c r="C112" s="9" t="s">
        <v>725</v>
      </c>
      <c r="D112" s="9" t="s">
        <v>829</v>
      </c>
      <c r="E112" s="12" t="n">
        <v>118.8</v>
      </c>
      <c r="F112" s="56" t="n">
        <f aca="false">Model!$E$24</f>
        <v>118.755</v>
      </c>
      <c r="G112" s="31" t="n">
        <f aca="false">IFERROR(F112-E112,"n/a")</f>
        <v>-0.0449999999999875</v>
      </c>
      <c r="H112" s="42" t="n">
        <v>0.050000001</v>
      </c>
      <c r="I112" s="60" t="str">
        <f aca="false">IFERROR(IF(ABS(F112-E112)&lt;=H112,"PASS","FAIL"),"FAIL")</f>
        <v>PASS</v>
      </c>
    </row>
    <row r="113" customFormat="false" ht="15" hidden="false" customHeight="false" outlineLevel="0" collapsed="false">
      <c r="B113" s="61" t="n">
        <v>105</v>
      </c>
      <c r="C113" s="9" t="s">
        <v>725</v>
      </c>
      <c r="D113" s="9" t="s">
        <v>830</v>
      </c>
      <c r="E113" s="12" t="n">
        <v>134.4</v>
      </c>
      <c r="F113" s="56" t="n">
        <f aca="false">Model!$F$24</f>
        <v>134.4</v>
      </c>
      <c r="G113" s="31" t="n">
        <f aca="false">IFERROR(F113-E113,"n/a")</f>
        <v>0</v>
      </c>
      <c r="H113" s="42" t="n">
        <v>0.050000001</v>
      </c>
      <c r="I113" s="60" t="str">
        <f aca="false">IFERROR(IF(ABS(F113-E113)&lt;=H113,"PASS","FAIL"),"FAIL")</f>
        <v>PASS</v>
      </c>
    </row>
    <row r="114" customFormat="false" ht="15" hidden="false" customHeight="false" outlineLevel="0" collapsed="false">
      <c r="B114" s="61" t="n">
        <v>106</v>
      </c>
      <c r="C114" s="9" t="s">
        <v>725</v>
      </c>
      <c r="D114" s="9" t="s">
        <v>831</v>
      </c>
      <c r="E114" s="12" t="n">
        <v>151.6</v>
      </c>
      <c r="F114" s="56" t="n">
        <f aca="false">Model!$G$24</f>
        <v>151.58848</v>
      </c>
      <c r="G114" s="31" t="n">
        <f aca="false">IFERROR(F114-E114,"n/a")</f>
        <v>-0.0115199999999902</v>
      </c>
      <c r="H114" s="42" t="n">
        <v>0.050000001</v>
      </c>
      <c r="I114" s="60" t="str">
        <f aca="false">IFERROR(IF(ABS(F114-E114)&lt;=H114,"PASS","FAIL"),"FAIL")</f>
        <v>PASS</v>
      </c>
    </row>
    <row r="115" customFormat="false" ht="15" hidden="false" customHeight="false" outlineLevel="0" collapsed="false">
      <c r="B115" s="61" t="n">
        <v>107</v>
      </c>
      <c r="C115" s="9" t="s">
        <v>725</v>
      </c>
      <c r="D115" s="9" t="s">
        <v>832</v>
      </c>
      <c r="E115" s="12" t="n">
        <v>170.8</v>
      </c>
      <c r="F115" s="56" t="n">
        <f aca="false">Model!$H$24</f>
        <v>170.791281</v>
      </c>
      <c r="G115" s="31" t="n">
        <f aca="false">IFERROR(F115-E115,"n/a")</f>
        <v>-0.00871900000004189</v>
      </c>
      <c r="H115" s="42" t="n">
        <v>0.050000001</v>
      </c>
      <c r="I115" s="60" t="str">
        <f aca="false">IFERROR(IF(ABS(F115-E115)&lt;=H115,"PASS","FAIL"),"FAIL")</f>
        <v>PASS</v>
      </c>
    </row>
    <row r="116" customFormat="false" ht="15" hidden="false" customHeight="false" outlineLevel="0" collapsed="false">
      <c r="B116" s="61" t="n">
        <v>108</v>
      </c>
      <c r="C116" s="9" t="s">
        <v>725</v>
      </c>
      <c r="D116" s="9" t="s">
        <v>833</v>
      </c>
      <c r="E116" s="12" t="n">
        <v>188.8</v>
      </c>
      <c r="F116" s="56" t="n">
        <f aca="false">Model!$I$24</f>
        <v>188.76307819536</v>
      </c>
      <c r="G116" s="31" t="n">
        <f aca="false">IFERROR(F116-E116,"n/a")</f>
        <v>-0.0369218046400022</v>
      </c>
      <c r="H116" s="42" t="n">
        <v>0.050000001</v>
      </c>
      <c r="I116" s="60" t="str">
        <f aca="false">IFERROR(IF(ABS(F116-E116)&lt;=H116,"PASS","FAIL"),"FAIL")</f>
        <v>PASS</v>
      </c>
    </row>
    <row r="117" customFormat="false" ht="15" hidden="false" customHeight="false" outlineLevel="0" collapsed="false">
      <c r="B117" s="61" t="n">
        <v>109</v>
      </c>
      <c r="C117" s="9" t="s">
        <v>725</v>
      </c>
      <c r="D117" s="9" t="s">
        <v>834</v>
      </c>
      <c r="E117" s="11" t="n">
        <v>0.23</v>
      </c>
      <c r="F117" s="62" t="n">
        <f aca="false">Model!$D$25</f>
        <v>0.23</v>
      </c>
      <c r="G117" s="31" t="n">
        <f aca="false">IFERROR(F117-E117,"n/a")</f>
        <v>0</v>
      </c>
      <c r="H117" s="42" t="n">
        <v>0.000500001</v>
      </c>
      <c r="I117" s="60" t="str">
        <f aca="false">IFERROR(IF(ABS(F117-E117)&lt;=H117,"PASS","FAIL"),"FAIL")</f>
        <v>PASS</v>
      </c>
    </row>
    <row r="118" customFormat="false" ht="15" hidden="false" customHeight="false" outlineLevel="0" collapsed="false">
      <c r="B118" s="61" t="n">
        <v>110</v>
      </c>
      <c r="C118" s="9" t="s">
        <v>725</v>
      </c>
      <c r="D118" s="9" t="s">
        <v>835</v>
      </c>
      <c r="E118" s="11" t="n">
        <v>0.235</v>
      </c>
      <c r="F118" s="62" t="n">
        <f aca="false">Model!$E$25</f>
        <v>0.235</v>
      </c>
      <c r="G118" s="31" t="n">
        <f aca="false">IFERROR(F118-E118,"n/a")</f>
        <v>0</v>
      </c>
      <c r="H118" s="42" t="n">
        <v>0.000500001</v>
      </c>
      <c r="I118" s="60" t="str">
        <f aca="false">IFERROR(IF(ABS(F118-E118)&lt;=H118,"PASS","FAIL"),"FAIL")</f>
        <v>PASS</v>
      </c>
    </row>
    <row r="119" customFormat="false" ht="15" hidden="false" customHeight="false" outlineLevel="0" collapsed="false">
      <c r="B119" s="61" t="n">
        <v>111</v>
      </c>
      <c r="C119" s="9" t="s">
        <v>725</v>
      </c>
      <c r="D119" s="9" t="s">
        <v>836</v>
      </c>
      <c r="E119" s="11" t="n">
        <v>0.24</v>
      </c>
      <c r="F119" s="62" t="n">
        <f aca="false">Model!$F$25</f>
        <v>0.24</v>
      </c>
      <c r="G119" s="31" t="n">
        <f aca="false">IFERROR(F119-E119,"n/a")</f>
        <v>0</v>
      </c>
      <c r="H119" s="42" t="n">
        <v>0.000500001</v>
      </c>
      <c r="I119" s="60" t="str">
        <f aca="false">IFERROR(IF(ABS(F119-E119)&lt;=H119,"PASS","FAIL"),"FAIL")</f>
        <v>PASS</v>
      </c>
    </row>
    <row r="120" customFormat="false" ht="15" hidden="false" customHeight="false" outlineLevel="0" collapsed="false">
      <c r="B120" s="61" t="n">
        <v>112</v>
      </c>
      <c r="C120" s="9" t="s">
        <v>725</v>
      </c>
      <c r="D120" s="9" t="s">
        <v>837</v>
      </c>
      <c r="E120" s="11" t="n">
        <v>0.243</v>
      </c>
      <c r="F120" s="62" t="n">
        <f aca="false">Model!$G$25</f>
        <v>0.243</v>
      </c>
      <c r="G120" s="31" t="n">
        <f aca="false">IFERROR(F120-E120,"n/a")</f>
        <v>0</v>
      </c>
      <c r="H120" s="42" t="n">
        <v>0.000500001</v>
      </c>
      <c r="I120" s="60" t="str">
        <f aca="false">IFERROR(IF(ABS(F120-E120)&lt;=H120,"PASS","FAIL"),"FAIL")</f>
        <v>PASS</v>
      </c>
    </row>
    <row r="121" customFormat="false" ht="15" hidden="false" customHeight="false" outlineLevel="0" collapsed="false">
      <c r="B121" s="61" t="n">
        <v>113</v>
      </c>
      <c r="C121" s="9" t="s">
        <v>725</v>
      </c>
      <c r="D121" s="9" t="s">
        <v>838</v>
      </c>
      <c r="E121" s="11" t="n">
        <v>0.246</v>
      </c>
      <c r="F121" s="62" t="n">
        <f aca="false">Model!$H$25</f>
        <v>0.246</v>
      </c>
      <c r="G121" s="31" t="n">
        <f aca="false">IFERROR(F121-E121,"n/a")</f>
        <v>0</v>
      </c>
      <c r="H121" s="42" t="n">
        <v>0.000500001</v>
      </c>
      <c r="I121" s="60" t="str">
        <f aca="false">IFERROR(IF(ABS(F121-E121)&lt;=H121,"PASS","FAIL"),"FAIL")</f>
        <v>PASS</v>
      </c>
    </row>
    <row r="122" customFormat="false" ht="15" hidden="false" customHeight="false" outlineLevel="0" collapsed="false">
      <c r="B122" s="61" t="n">
        <v>114</v>
      </c>
      <c r="C122" s="9" t="s">
        <v>725</v>
      </c>
      <c r="D122" s="9" t="s">
        <v>839</v>
      </c>
      <c r="E122" s="11" t="n">
        <v>0.248</v>
      </c>
      <c r="F122" s="62" t="n">
        <f aca="false">Model!$I$25</f>
        <v>0.248</v>
      </c>
      <c r="G122" s="31" t="n">
        <f aca="false">IFERROR(F122-E122,"n/a")</f>
        <v>0</v>
      </c>
      <c r="H122" s="42" t="n">
        <v>0.000500001</v>
      </c>
      <c r="I122" s="60" t="str">
        <f aca="false">IFERROR(IF(ABS(F122-E122)&lt;=H122,"PASS","FAIL"),"FAIL")</f>
        <v>PASS</v>
      </c>
    </row>
    <row r="123" customFormat="false" ht="15" hidden="false" customHeight="false" outlineLevel="0" collapsed="false">
      <c r="B123" s="61" t="n">
        <v>115</v>
      </c>
      <c r="C123" s="9" t="s">
        <v>725</v>
      </c>
      <c r="D123" s="9" t="s">
        <v>840</v>
      </c>
      <c r="E123" s="12" t="n">
        <v>87.4</v>
      </c>
      <c r="F123" s="56" t="n">
        <f aca="false">Model!$D$26</f>
        <v>87.4</v>
      </c>
      <c r="G123" s="31" t="n">
        <f aca="false">IFERROR(F123-E123,"n/a")</f>
        <v>0</v>
      </c>
      <c r="H123" s="42" t="n">
        <v>0.050000001</v>
      </c>
      <c r="I123" s="60" t="str">
        <f aca="false">IFERROR(IF(ABS(F123-E123)&lt;=H123,"PASS","FAIL"),"FAIL")</f>
        <v>PASS</v>
      </c>
    </row>
    <row r="124" customFormat="false" ht="15" hidden="false" customHeight="false" outlineLevel="0" collapsed="false">
      <c r="B124" s="61" t="n">
        <v>116</v>
      </c>
      <c r="C124" s="9" t="s">
        <v>725</v>
      </c>
      <c r="D124" s="9" t="s">
        <v>841</v>
      </c>
      <c r="E124" s="12" t="n">
        <v>96.3</v>
      </c>
      <c r="F124" s="56" t="n">
        <f aca="false">Model!$E$26</f>
        <v>96.35</v>
      </c>
      <c r="G124" s="31" t="n">
        <f aca="false">IFERROR(F124-E124,"n/a")</f>
        <v>0.0499999999999972</v>
      </c>
      <c r="H124" s="42" t="n">
        <v>0.050000001</v>
      </c>
      <c r="I124" s="60" t="str">
        <f aca="false">IFERROR(IF(ABS(F124-E124)&lt;=H124,"PASS","FAIL"),"FAIL")</f>
        <v>PASS</v>
      </c>
    </row>
    <row r="125" customFormat="false" ht="15" hidden="false" customHeight="false" outlineLevel="0" collapsed="false">
      <c r="B125" s="61" t="n">
        <v>117</v>
      </c>
      <c r="C125" s="9" t="s">
        <v>725</v>
      </c>
      <c r="D125" s="9" t="s">
        <v>842</v>
      </c>
      <c r="E125" s="12" t="n">
        <v>105.6</v>
      </c>
      <c r="F125" s="56" t="n">
        <f aca="false">Model!$F$26</f>
        <v>105.6</v>
      </c>
      <c r="G125" s="31" t="n">
        <f aca="false">IFERROR(F125-E125,"n/a")</f>
        <v>0</v>
      </c>
      <c r="H125" s="42" t="n">
        <v>0.050000001</v>
      </c>
      <c r="I125" s="60" t="str">
        <f aca="false">IFERROR(IF(ABS(F125-E125)&lt;=H125,"PASS","FAIL"),"FAIL")</f>
        <v>PASS</v>
      </c>
    </row>
    <row r="126" customFormat="false" ht="15" hidden="false" customHeight="false" outlineLevel="0" collapsed="false">
      <c r="B126" s="61" t="n">
        <v>118</v>
      </c>
      <c r="C126" s="9" t="s">
        <v>725</v>
      </c>
      <c r="D126" s="9" t="s">
        <v>843</v>
      </c>
      <c r="E126" s="12" t="n">
        <v>114.5</v>
      </c>
      <c r="F126" s="56" t="n">
        <f aca="false">Model!$G$26</f>
        <v>114.532704</v>
      </c>
      <c r="G126" s="31" t="n">
        <f aca="false">IFERROR(F126-E126,"n/a")</f>
        <v>0.0327040000000238</v>
      </c>
      <c r="H126" s="42" t="n">
        <v>0.050000001</v>
      </c>
      <c r="I126" s="60" t="str">
        <f aca="false">IFERROR(IF(ABS(F126-E126)&lt;=H126,"PASS","FAIL"),"FAIL")</f>
        <v>PASS</v>
      </c>
    </row>
    <row r="127" customFormat="false" ht="15" hidden="false" customHeight="false" outlineLevel="0" collapsed="false">
      <c r="B127" s="61" t="n">
        <v>119</v>
      </c>
      <c r="C127" s="9" t="s">
        <v>725</v>
      </c>
      <c r="D127" s="9" t="s">
        <v>844</v>
      </c>
      <c r="E127" s="12" t="n">
        <v>124.8</v>
      </c>
      <c r="F127" s="56" t="n">
        <f aca="false">Model!$H$26</f>
        <v>124.7992176288</v>
      </c>
      <c r="G127" s="31" t="n">
        <f aca="false">IFERROR(F127-E127,"n/a")</f>
        <v>-0.000782371199974818</v>
      </c>
      <c r="H127" s="42" t="n">
        <v>0.050000001</v>
      </c>
      <c r="I127" s="60" t="str">
        <f aca="false">IFERROR(IF(ABS(F127-E127)&lt;=H127,"PASS","FAIL"),"FAIL")</f>
        <v>PASS</v>
      </c>
    </row>
    <row r="128" customFormat="false" ht="15" hidden="false" customHeight="false" outlineLevel="0" collapsed="false">
      <c r="B128" s="61" t="n">
        <v>120</v>
      </c>
      <c r="C128" s="9" t="s">
        <v>725</v>
      </c>
      <c r="D128" s="9" t="s">
        <v>845</v>
      </c>
      <c r="E128" s="12" t="n">
        <v>135.4</v>
      </c>
      <c r="F128" s="56" t="n">
        <f aca="false">Model!$I$26</f>
        <v>135.419732511789</v>
      </c>
      <c r="G128" s="31" t="n">
        <f aca="false">IFERROR(F128-E128,"n/a")</f>
        <v>0.0197325117894422</v>
      </c>
      <c r="H128" s="42" t="n">
        <v>0.050000001</v>
      </c>
      <c r="I128" s="60" t="str">
        <f aca="false">IFERROR(IF(ABS(F128-E128)&lt;=H128,"PASS","FAIL"),"FAIL")</f>
        <v>PASS</v>
      </c>
    </row>
    <row r="129" customFormat="false" ht="15" hidden="false" customHeight="false" outlineLevel="0" collapsed="false">
      <c r="B129" s="61" t="n">
        <v>121</v>
      </c>
      <c r="C129" s="9" t="s">
        <v>725</v>
      </c>
      <c r="D129" s="9" t="s">
        <v>846</v>
      </c>
      <c r="E129" s="12" t="n">
        <v>316.6</v>
      </c>
      <c r="F129" s="56" t="n">
        <f aca="false">Model!$D$27</f>
        <v>316.59</v>
      </c>
      <c r="G129" s="31" t="n">
        <f aca="false">IFERROR(F129-E129,"n/a")</f>
        <v>-0.00999999999999091</v>
      </c>
      <c r="H129" s="42" t="n">
        <v>0.050000001</v>
      </c>
      <c r="I129" s="60" t="str">
        <f aca="false">IFERROR(IF(ABS(F129-E129)&lt;=H129,"PASS","FAIL"),"FAIL")</f>
        <v>PASS</v>
      </c>
    </row>
    <row r="130" customFormat="false" ht="15" hidden="false" customHeight="false" outlineLevel="0" collapsed="false">
      <c r="B130" s="61" t="n">
        <v>122</v>
      </c>
      <c r="C130" s="9" t="s">
        <v>725</v>
      </c>
      <c r="D130" s="9" t="s">
        <v>847</v>
      </c>
      <c r="E130" s="12" t="n">
        <v>351.8</v>
      </c>
      <c r="F130" s="56" t="n">
        <f aca="false">Model!$E$27</f>
        <v>351.815</v>
      </c>
      <c r="G130" s="31" t="n">
        <f aca="false">IFERROR(F130-E130,"n/a")</f>
        <v>0.0150000000000432</v>
      </c>
      <c r="H130" s="42" t="n">
        <v>0.050000001</v>
      </c>
      <c r="I130" s="60" t="str">
        <f aca="false">IFERROR(IF(ABS(F130-E130)&lt;=H130,"PASS","FAIL"),"FAIL")</f>
        <v>PASS</v>
      </c>
    </row>
    <row r="131" customFormat="false" ht="15" hidden="false" customHeight="false" outlineLevel="0" collapsed="false">
      <c r="B131" s="61" t="n">
        <v>123</v>
      </c>
      <c r="C131" s="9" t="s">
        <v>725</v>
      </c>
      <c r="D131" s="9" t="s">
        <v>848</v>
      </c>
      <c r="E131" s="12" t="n">
        <v>385.6</v>
      </c>
      <c r="F131" s="56" t="n">
        <f aca="false">Model!$F$27</f>
        <v>385.6</v>
      </c>
      <c r="G131" s="31" t="n">
        <f aca="false">IFERROR(F131-E131,"n/a")</f>
        <v>0</v>
      </c>
      <c r="H131" s="42" t="n">
        <v>0.050000001</v>
      </c>
      <c r="I131" s="60" t="str">
        <f aca="false">IFERROR(IF(ABS(F131-E131)&lt;=H131,"PASS","FAIL"),"FAIL")</f>
        <v>PASS</v>
      </c>
    </row>
    <row r="132" customFormat="false" ht="15" hidden="false" customHeight="false" outlineLevel="0" collapsed="false">
      <c r="B132" s="61" t="n">
        <v>124</v>
      </c>
      <c r="C132" s="9" t="s">
        <v>725</v>
      </c>
      <c r="D132" s="9" t="s">
        <v>849</v>
      </c>
      <c r="E132" s="12" t="n">
        <v>419.2</v>
      </c>
      <c r="F132" s="56" t="n">
        <f aca="false">Model!$G$27</f>
        <v>419.172544</v>
      </c>
      <c r="G132" s="31" t="n">
        <f aca="false">IFERROR(F132-E132,"n/a")</f>
        <v>-0.0274559999999155</v>
      </c>
      <c r="H132" s="42" t="n">
        <v>0.050000001</v>
      </c>
      <c r="I132" s="60" t="str">
        <f aca="false">IFERROR(IF(ABS(F132-E132)&lt;=H132,"PASS","FAIL"),"FAIL")</f>
        <v>PASS</v>
      </c>
    </row>
    <row r="133" customFormat="false" ht="15" hidden="false" customHeight="false" outlineLevel="0" collapsed="false">
      <c r="B133" s="61" t="n">
        <v>125</v>
      </c>
      <c r="C133" s="9" t="s">
        <v>725</v>
      </c>
      <c r="D133" s="9" t="s">
        <v>850</v>
      </c>
      <c r="E133" s="12" t="n">
        <v>459.7</v>
      </c>
      <c r="F133" s="56" t="n">
        <f aca="false">Model!$H$27</f>
        <v>459.6504255408</v>
      </c>
      <c r="G133" s="31" t="n">
        <f aca="false">IFERROR(F133-E133,"n/a")</f>
        <v>-0.0495744591999596</v>
      </c>
      <c r="H133" s="42" t="n">
        <v>0.050000001</v>
      </c>
      <c r="I133" s="60" t="str">
        <f aca="false">IFERROR(IF(ABS(F133-E133)&lt;=H133,"PASS","FAIL"),"FAIL")</f>
        <v>PASS</v>
      </c>
    </row>
    <row r="134" customFormat="false" ht="15" hidden="false" customHeight="false" outlineLevel="0" collapsed="false">
      <c r="B134" s="61" t="n">
        <v>126</v>
      </c>
      <c r="C134" s="9" t="s">
        <v>725</v>
      </c>
      <c r="D134" s="9" t="s">
        <v>851</v>
      </c>
      <c r="E134" s="12" t="n">
        <v>500.8</v>
      </c>
      <c r="F134" s="56" t="n">
        <f aca="false">Model!$I$27</f>
        <v>500.752307046189</v>
      </c>
      <c r="G134" s="31" t="n">
        <f aca="false">IFERROR(F134-E134,"n/a")</f>
        <v>-0.0476929538105537</v>
      </c>
      <c r="H134" s="42" t="n">
        <v>0.050000001</v>
      </c>
      <c r="I134" s="60" t="str">
        <f aca="false">IFERROR(IF(ABS(F134-E134)&lt;=H134,"PASS","FAIL"),"FAIL")</f>
        <v>PASS</v>
      </c>
    </row>
    <row r="135" customFormat="false" ht="15" hidden="false" customHeight="false" outlineLevel="0" collapsed="false">
      <c r="B135" s="61" t="n">
        <v>127</v>
      </c>
      <c r="C135" s="9" t="s">
        <v>725</v>
      </c>
      <c r="D135" s="9" t="s">
        <v>852</v>
      </c>
      <c r="E135" s="12" t="n">
        <v>44</v>
      </c>
      <c r="F135" s="56" t="n">
        <f aca="false">Model!$D$28</f>
        <v>44</v>
      </c>
      <c r="G135" s="31" t="n">
        <f aca="false">IFERROR(F135-E135,"n/a")</f>
        <v>0</v>
      </c>
      <c r="H135" s="42" t="n">
        <v>0.050000001</v>
      </c>
      <c r="I135" s="60" t="str">
        <f aca="false">IFERROR(IF(ABS(F135-E135)&lt;=H135,"PASS","FAIL"),"FAIL")</f>
        <v>PASS</v>
      </c>
    </row>
    <row r="136" customFormat="false" ht="15" hidden="false" customHeight="false" outlineLevel="0" collapsed="false">
      <c r="B136" s="61" t="n">
        <v>128</v>
      </c>
      <c r="C136" s="9" t="s">
        <v>725</v>
      </c>
      <c r="D136" s="9" t="s">
        <v>853</v>
      </c>
      <c r="E136" s="12" t="n">
        <v>46</v>
      </c>
      <c r="F136" s="56" t="n">
        <f aca="false">Model!$E$28</f>
        <v>46</v>
      </c>
      <c r="G136" s="31" t="n">
        <f aca="false">IFERROR(F136-E136,"n/a")</f>
        <v>0</v>
      </c>
      <c r="H136" s="42" t="n">
        <v>0.050000001</v>
      </c>
      <c r="I136" s="60" t="str">
        <f aca="false">IFERROR(IF(ABS(F136-E136)&lt;=H136,"PASS","FAIL"),"FAIL")</f>
        <v>PASS</v>
      </c>
    </row>
    <row r="137" customFormat="false" ht="15" hidden="false" customHeight="false" outlineLevel="0" collapsed="false">
      <c r="B137" s="61" t="n">
        <v>129</v>
      </c>
      <c r="C137" s="9" t="s">
        <v>725</v>
      </c>
      <c r="D137" s="9" t="s">
        <v>854</v>
      </c>
      <c r="E137" s="12" t="n">
        <v>48</v>
      </c>
      <c r="F137" s="56" t="n">
        <f aca="false">Model!$F$28</f>
        <v>48</v>
      </c>
      <c r="G137" s="31" t="n">
        <f aca="false">IFERROR(F137-E137,"n/a")</f>
        <v>0</v>
      </c>
      <c r="H137" s="42" t="n">
        <v>0.050000001</v>
      </c>
      <c r="I137" s="60" t="str">
        <f aca="false">IFERROR(IF(ABS(F137-E137)&lt;=H137,"PASS","FAIL"),"FAIL")</f>
        <v>PASS</v>
      </c>
    </row>
    <row r="138" customFormat="false" ht="15" hidden="false" customHeight="false" outlineLevel="0" collapsed="false">
      <c r="B138" s="61" t="n">
        <v>130</v>
      </c>
      <c r="C138" s="9" t="s">
        <v>725</v>
      </c>
      <c r="D138" s="9" t="s">
        <v>855</v>
      </c>
      <c r="E138" s="12" t="n">
        <v>50</v>
      </c>
      <c r="F138" s="56" t="n">
        <f aca="false">Model!$G$28</f>
        <v>50</v>
      </c>
      <c r="G138" s="31" t="n">
        <f aca="false">IFERROR(F138-E138,"n/a")</f>
        <v>0</v>
      </c>
      <c r="H138" s="42" t="n">
        <v>0.050000001</v>
      </c>
      <c r="I138" s="60" t="str">
        <f aca="false">IFERROR(IF(ABS(F138-E138)&lt;=H138,"PASS","FAIL"),"FAIL")</f>
        <v>PASS</v>
      </c>
    </row>
    <row r="139" customFormat="false" ht="15" hidden="false" customHeight="false" outlineLevel="0" collapsed="false">
      <c r="B139" s="61" t="n">
        <v>131</v>
      </c>
      <c r="C139" s="9" t="s">
        <v>725</v>
      </c>
      <c r="D139" s="9" t="s">
        <v>856</v>
      </c>
      <c r="E139" s="12" t="n">
        <v>52</v>
      </c>
      <c r="F139" s="56" t="n">
        <f aca="false">Model!$H$28</f>
        <v>52</v>
      </c>
      <c r="G139" s="31" t="n">
        <f aca="false">IFERROR(F139-E139,"n/a")</f>
        <v>0</v>
      </c>
      <c r="H139" s="42" t="n">
        <v>0.050000001</v>
      </c>
      <c r="I139" s="60" t="str">
        <f aca="false">IFERROR(IF(ABS(F139-E139)&lt;=H139,"PASS","FAIL"),"FAIL")</f>
        <v>PASS</v>
      </c>
    </row>
    <row r="140" customFormat="false" ht="15" hidden="false" customHeight="false" outlineLevel="0" collapsed="false">
      <c r="B140" s="61" t="n">
        <v>132</v>
      </c>
      <c r="C140" s="9" t="s">
        <v>725</v>
      </c>
      <c r="D140" s="9" t="s">
        <v>857</v>
      </c>
      <c r="E140" s="12" t="n">
        <v>54</v>
      </c>
      <c r="F140" s="56" t="n">
        <f aca="false">Model!$I$28</f>
        <v>54</v>
      </c>
      <c r="G140" s="31" t="n">
        <f aca="false">IFERROR(F140-E140,"n/a")</f>
        <v>0</v>
      </c>
      <c r="H140" s="42" t="n">
        <v>0.050000001</v>
      </c>
      <c r="I140" s="60" t="str">
        <f aca="false">IFERROR(IF(ABS(F140-E140)&lt;=H140,"PASS","FAIL"),"FAIL")</f>
        <v>PASS</v>
      </c>
    </row>
    <row r="141" customFormat="false" ht="15" hidden="false" customHeight="false" outlineLevel="0" collapsed="false">
      <c r="B141" s="61" t="n">
        <v>133</v>
      </c>
      <c r="C141" s="9" t="s">
        <v>725</v>
      </c>
      <c r="D141" s="9" t="s">
        <v>858</v>
      </c>
      <c r="E141" s="12" t="n">
        <v>272.6</v>
      </c>
      <c r="F141" s="56" t="n">
        <f aca="false">Model!$D$29</f>
        <v>272.59</v>
      </c>
      <c r="G141" s="31" t="n">
        <f aca="false">IFERROR(F141-E141,"n/a")</f>
        <v>-0.00999999999999091</v>
      </c>
      <c r="H141" s="42" t="n">
        <v>0.050000001</v>
      </c>
      <c r="I141" s="60" t="str">
        <f aca="false">IFERROR(IF(ABS(F141-E141)&lt;=H141,"PASS","FAIL"),"FAIL")</f>
        <v>PASS</v>
      </c>
    </row>
    <row r="142" customFormat="false" ht="15" hidden="false" customHeight="false" outlineLevel="0" collapsed="false">
      <c r="B142" s="61" t="n">
        <v>134</v>
      </c>
      <c r="C142" s="9" t="s">
        <v>725</v>
      </c>
      <c r="D142" s="9" t="s">
        <v>859</v>
      </c>
      <c r="E142" s="12" t="n">
        <v>305.8</v>
      </c>
      <c r="F142" s="56" t="n">
        <f aca="false">Model!$E$29</f>
        <v>305.815</v>
      </c>
      <c r="G142" s="31" t="n">
        <f aca="false">IFERROR(F142-E142,"n/a")</f>
        <v>0.0150000000000432</v>
      </c>
      <c r="H142" s="42" t="n">
        <v>0.050000001</v>
      </c>
      <c r="I142" s="60" t="str">
        <f aca="false">IFERROR(IF(ABS(F142-E142)&lt;=H142,"PASS","FAIL"),"FAIL")</f>
        <v>PASS</v>
      </c>
    </row>
    <row r="143" customFormat="false" ht="15" hidden="false" customHeight="false" outlineLevel="0" collapsed="false">
      <c r="B143" s="61" t="n">
        <v>135</v>
      </c>
      <c r="C143" s="9" t="s">
        <v>725</v>
      </c>
      <c r="D143" s="9" t="s">
        <v>860</v>
      </c>
      <c r="E143" s="12" t="n">
        <v>337.6</v>
      </c>
      <c r="F143" s="56" t="n">
        <f aca="false">Model!$F$29</f>
        <v>337.6</v>
      </c>
      <c r="G143" s="31" t="n">
        <f aca="false">IFERROR(F143-E143,"n/a")</f>
        <v>0</v>
      </c>
      <c r="H143" s="42" t="n">
        <v>0.050000001</v>
      </c>
      <c r="I143" s="60" t="str">
        <f aca="false">IFERROR(IF(ABS(F143-E143)&lt;=H143,"PASS","FAIL"),"FAIL")</f>
        <v>PASS</v>
      </c>
    </row>
    <row r="144" customFormat="false" ht="15" hidden="false" customHeight="false" outlineLevel="0" collapsed="false">
      <c r="B144" s="61" t="n">
        <v>136</v>
      </c>
      <c r="C144" s="9" t="s">
        <v>725</v>
      </c>
      <c r="D144" s="9" t="s">
        <v>861</v>
      </c>
      <c r="E144" s="12" t="n">
        <v>369.2</v>
      </c>
      <c r="F144" s="56" t="n">
        <f aca="false">Model!$G$29</f>
        <v>369.172544</v>
      </c>
      <c r="G144" s="31" t="n">
        <f aca="false">IFERROR(F144-E144,"n/a")</f>
        <v>-0.0274559999999155</v>
      </c>
      <c r="H144" s="42" t="n">
        <v>0.050000001</v>
      </c>
      <c r="I144" s="60" t="str">
        <f aca="false">IFERROR(IF(ABS(F144-E144)&lt;=H144,"PASS","FAIL"),"FAIL")</f>
        <v>PASS</v>
      </c>
    </row>
    <row r="145" customFormat="false" ht="15" hidden="false" customHeight="false" outlineLevel="0" collapsed="false">
      <c r="B145" s="61" t="n">
        <v>137</v>
      </c>
      <c r="C145" s="9" t="s">
        <v>725</v>
      </c>
      <c r="D145" s="9" t="s">
        <v>862</v>
      </c>
      <c r="E145" s="12" t="n">
        <v>407.7</v>
      </c>
      <c r="F145" s="56" t="n">
        <f aca="false">Model!$H$29</f>
        <v>407.6504255408</v>
      </c>
      <c r="G145" s="31" t="n">
        <f aca="false">IFERROR(F145-E145,"n/a")</f>
        <v>-0.0495744591999596</v>
      </c>
      <c r="H145" s="42" t="n">
        <v>0.050000001</v>
      </c>
      <c r="I145" s="60" t="str">
        <f aca="false">IFERROR(IF(ABS(F145-E145)&lt;=H145,"PASS","FAIL"),"FAIL")</f>
        <v>PASS</v>
      </c>
    </row>
    <row r="146" customFormat="false" ht="15" hidden="false" customHeight="false" outlineLevel="0" collapsed="false">
      <c r="B146" s="61" t="n">
        <v>138</v>
      </c>
      <c r="C146" s="9" t="s">
        <v>725</v>
      </c>
      <c r="D146" s="9" t="s">
        <v>863</v>
      </c>
      <c r="E146" s="12" t="n">
        <v>446.8</v>
      </c>
      <c r="F146" s="56" t="n">
        <f aca="false">Model!$I$29</f>
        <v>446.752307046189</v>
      </c>
      <c r="G146" s="31" t="n">
        <f aca="false">IFERROR(F146-E146,"n/a")</f>
        <v>-0.0476929538105537</v>
      </c>
      <c r="H146" s="42" t="n">
        <v>0.050000001</v>
      </c>
      <c r="I146" s="60" t="str">
        <f aca="false">IFERROR(IF(ABS(F146-E146)&lt;=H146,"PASS","FAIL"),"FAIL")</f>
        <v>PASS</v>
      </c>
    </row>
    <row r="147" customFormat="false" ht="15" hidden="false" customHeight="false" outlineLevel="0" collapsed="false">
      <c r="B147" s="61" t="n">
        <v>139</v>
      </c>
      <c r="C147" s="9" t="s">
        <v>725</v>
      </c>
      <c r="D147" s="9" t="s">
        <v>864</v>
      </c>
      <c r="E147" s="11" t="n">
        <v>0.14</v>
      </c>
      <c r="F147" s="62" t="n">
        <f aca="false">Model!$D$30</f>
        <v>0.139789743589744</v>
      </c>
      <c r="G147" s="31" t="n">
        <f aca="false">IFERROR(F147-E147,"n/a")</f>
        <v>-0.000210256410256404</v>
      </c>
      <c r="H147" s="42" t="n">
        <v>0.000500001</v>
      </c>
      <c r="I147" s="60" t="str">
        <f aca="false">IFERROR(IF(ABS(F147-E147)&lt;=H147,"PASS","FAIL"),"FAIL")</f>
        <v>PASS</v>
      </c>
    </row>
    <row r="148" customFormat="false" ht="15" hidden="false" customHeight="false" outlineLevel="0" collapsed="false">
      <c r="B148" s="61" t="n">
        <v>140</v>
      </c>
      <c r="C148" s="9" t="s">
        <v>725</v>
      </c>
      <c r="D148" s="9" t="s">
        <v>865</v>
      </c>
      <c r="E148" s="11" t="n">
        <v>0.147</v>
      </c>
      <c r="F148" s="62" t="n">
        <f aca="false">Model!$E$30</f>
        <v>0.147026442307692</v>
      </c>
      <c r="G148" s="31" t="n">
        <f aca="false">IFERROR(F148-E148,"n/a")</f>
        <v>2.64423076923315E-005</v>
      </c>
      <c r="H148" s="42" t="n">
        <v>0.000500001</v>
      </c>
      <c r="I148" s="60" t="str">
        <f aca="false">IFERROR(IF(ABS(F148-E148)&lt;=H148,"PASS","FAIL"),"FAIL")</f>
        <v>PASS</v>
      </c>
    </row>
    <row r="149" customFormat="false" ht="15" hidden="false" customHeight="false" outlineLevel="0" collapsed="false">
      <c r="B149" s="61" t="n">
        <v>141</v>
      </c>
      <c r="C149" s="9" t="s">
        <v>725</v>
      </c>
      <c r="D149" s="9" t="s">
        <v>866</v>
      </c>
      <c r="E149" s="11" t="n">
        <v>0.153</v>
      </c>
      <c r="F149" s="62" t="n">
        <f aca="false">Model!$F$30</f>
        <v>0.153454545454545</v>
      </c>
      <c r="G149" s="31" t="n">
        <f aca="false">IFERROR(F149-E149,"n/a")</f>
        <v>0.000454545454545457</v>
      </c>
      <c r="H149" s="42" t="n">
        <v>0.000500001</v>
      </c>
      <c r="I149" s="60" t="str">
        <f aca="false">IFERROR(IF(ABS(F149-E149)&lt;=H149,"PASS","FAIL"),"FAIL")</f>
        <v>PASS</v>
      </c>
    </row>
    <row r="150" customFormat="false" ht="15" hidden="false" customHeight="false" outlineLevel="0" collapsed="false">
      <c r="B150" s="61" t="n">
        <v>142</v>
      </c>
      <c r="C150" s="9" t="s">
        <v>725</v>
      </c>
      <c r="D150" s="9" t="s">
        <v>867</v>
      </c>
      <c r="E150" s="11" t="n">
        <v>0.159</v>
      </c>
      <c r="F150" s="62" t="n">
        <f aca="false">Model!$G$30</f>
        <v>0.158704162382081</v>
      </c>
      <c r="G150" s="31" t="n">
        <f aca="false">IFERROR(F150-E150,"n/a")</f>
        <v>-0.000295837617919237</v>
      </c>
      <c r="H150" s="42" t="n">
        <v>0.000500001</v>
      </c>
      <c r="I150" s="60" t="str">
        <f aca="false">IFERROR(IF(ABS(F150-E150)&lt;=H150,"PASS","FAIL"),"FAIL")</f>
        <v>PASS</v>
      </c>
    </row>
    <row r="151" customFormat="false" ht="15" hidden="false" customHeight="false" outlineLevel="0" collapsed="false">
      <c r="B151" s="61" t="n">
        <v>143</v>
      </c>
      <c r="C151" s="9" t="s">
        <v>725</v>
      </c>
      <c r="D151" s="9" t="s">
        <v>868</v>
      </c>
      <c r="E151" s="11" t="n">
        <v>0.165</v>
      </c>
      <c r="F151" s="62" t="n">
        <f aca="false">Model!$H$30</f>
        <v>0.164859829920591</v>
      </c>
      <c r="G151" s="31" t="n">
        <f aca="false">IFERROR(F151-E151,"n/a")</f>
        <v>-0.000140170079409419</v>
      </c>
      <c r="H151" s="42" t="n">
        <v>0.000500001</v>
      </c>
      <c r="I151" s="60" t="str">
        <f aca="false">IFERROR(IF(ABS(F151-E151)&lt;=H151,"PASS","FAIL"),"FAIL")</f>
        <v>PASS</v>
      </c>
    </row>
    <row r="152" customFormat="false" ht="15" hidden="false" customHeight="false" outlineLevel="0" collapsed="false">
      <c r="B152" s="61" t="n">
        <v>144</v>
      </c>
      <c r="C152" s="9" t="s">
        <v>725</v>
      </c>
      <c r="D152" s="9" t="s">
        <v>869</v>
      </c>
      <c r="E152" s="11" t="n">
        <v>0.17</v>
      </c>
      <c r="F152" s="62" t="n">
        <f aca="false">Model!$I$30</f>
        <v>0.169999205301306</v>
      </c>
      <c r="G152" s="31" t="n">
        <f aca="false">IFERROR(F152-E152,"n/a")</f>
        <v>-7.94698693906693E-007</v>
      </c>
      <c r="H152" s="42" t="n">
        <v>0.000500001</v>
      </c>
      <c r="I152" s="60" t="str">
        <f aca="false">IFERROR(IF(ABS(F152-E152)&lt;=H152,"PASS","FAIL"),"FAIL")</f>
        <v>PASS</v>
      </c>
    </row>
    <row r="153" customFormat="false" ht="15" hidden="false" customHeight="false" outlineLevel="0" collapsed="false">
      <c r="B153" s="61" t="n">
        <v>145</v>
      </c>
      <c r="C153" s="9" t="s">
        <v>725</v>
      </c>
      <c r="D153" s="9" t="s">
        <v>870</v>
      </c>
      <c r="E153" s="12" t="n">
        <v>54.6</v>
      </c>
      <c r="F153" s="56" t="n">
        <f aca="false">Model!$D$31</f>
        <v>54.6</v>
      </c>
      <c r="G153" s="31" t="n">
        <f aca="false">IFERROR(F153-E153,"n/a")</f>
        <v>0</v>
      </c>
      <c r="H153" s="42" t="n">
        <v>0.050000001</v>
      </c>
      <c r="I153" s="60" t="str">
        <f aca="false">IFERROR(IF(ABS(F153-E153)&lt;=H153,"PASS","FAIL"),"FAIL")</f>
        <v>PASS</v>
      </c>
    </row>
    <row r="154" customFormat="false" ht="15" hidden="false" customHeight="false" outlineLevel="0" collapsed="false">
      <c r="B154" s="61" t="n">
        <v>146</v>
      </c>
      <c r="C154" s="9" t="s">
        <v>725</v>
      </c>
      <c r="D154" s="9" t="s">
        <v>871</v>
      </c>
      <c r="E154" s="12" t="n">
        <v>58.2</v>
      </c>
      <c r="F154" s="56" t="n">
        <f aca="false">Model!$E$31</f>
        <v>58.24</v>
      </c>
      <c r="G154" s="31" t="n">
        <f aca="false">IFERROR(F154-E154,"n/a")</f>
        <v>0.0399999999999992</v>
      </c>
      <c r="H154" s="42" t="n">
        <v>0.050000001</v>
      </c>
      <c r="I154" s="60" t="str">
        <f aca="false">IFERROR(IF(ABS(F154-E154)&lt;=H154,"PASS","FAIL"),"FAIL")</f>
        <v>PASS</v>
      </c>
    </row>
    <row r="155" customFormat="false" ht="15" hidden="false" customHeight="false" outlineLevel="0" collapsed="false">
      <c r="B155" s="61" t="n">
        <v>147</v>
      </c>
      <c r="C155" s="9" t="s">
        <v>725</v>
      </c>
      <c r="D155" s="9" t="s">
        <v>872</v>
      </c>
      <c r="E155" s="12" t="n">
        <v>61.6</v>
      </c>
      <c r="F155" s="56" t="n">
        <f aca="false">Model!$F$31</f>
        <v>61.6</v>
      </c>
      <c r="G155" s="31" t="n">
        <f aca="false">IFERROR(F155-E155,"n/a")</f>
        <v>0</v>
      </c>
      <c r="H155" s="42" t="n">
        <v>0.050000001</v>
      </c>
      <c r="I155" s="60" t="str">
        <f aca="false">IFERROR(IF(ABS(F155-E155)&lt;=H155,"PASS","FAIL"),"FAIL")</f>
        <v>PASS</v>
      </c>
    </row>
    <row r="156" customFormat="false" ht="15" hidden="false" customHeight="false" outlineLevel="0" collapsed="false">
      <c r="B156" s="61" t="n">
        <v>148</v>
      </c>
      <c r="C156" s="9" t="s">
        <v>725</v>
      </c>
      <c r="D156" s="9" t="s">
        <v>873</v>
      </c>
      <c r="E156" s="12" t="n">
        <v>65.1</v>
      </c>
      <c r="F156" s="56" t="n">
        <f aca="false">Model!$G$31</f>
        <v>65.132704</v>
      </c>
      <c r="G156" s="31" t="n">
        <f aca="false">IFERROR(F156-E156,"n/a")</f>
        <v>0.0327040000000096</v>
      </c>
      <c r="H156" s="42" t="n">
        <v>0.050000001</v>
      </c>
      <c r="I156" s="60" t="str">
        <f aca="false">IFERROR(IF(ABS(F156-E156)&lt;=H156,"PASS","FAIL"),"FAIL")</f>
        <v>PASS</v>
      </c>
    </row>
    <row r="157" customFormat="false" ht="15" hidden="false" customHeight="false" outlineLevel="0" collapsed="false">
      <c r="B157" s="61" t="n">
        <v>149</v>
      </c>
      <c r="C157" s="9" t="s">
        <v>725</v>
      </c>
      <c r="D157" s="9" t="s">
        <v>874</v>
      </c>
      <c r="E157" s="12" t="n">
        <v>69.2</v>
      </c>
      <c r="F157" s="56" t="n">
        <f aca="false">Model!$H$31</f>
        <v>69.2358588544</v>
      </c>
      <c r="G157" s="31" t="n">
        <f aca="false">IFERROR(F157-E157,"n/a")</f>
        <v>0.0358588544000043</v>
      </c>
      <c r="H157" s="42" t="n">
        <v>0.050000001</v>
      </c>
      <c r="I157" s="60" t="str">
        <f aca="false">IFERROR(IF(ABS(F157-E157)&lt;=H157,"PASS","FAIL"),"FAIL")</f>
        <v>PASS</v>
      </c>
    </row>
    <row r="158" customFormat="false" ht="15" hidden="false" customHeight="false" outlineLevel="0" collapsed="false">
      <c r="B158" s="61" t="n">
        <v>150</v>
      </c>
      <c r="C158" s="9" t="s">
        <v>725</v>
      </c>
      <c r="D158" s="9" t="s">
        <v>875</v>
      </c>
      <c r="E158" s="12" t="n">
        <v>73.6</v>
      </c>
      <c r="F158" s="56" t="n">
        <f aca="false">Model!$I$31</f>
        <v>73.5830769039318</v>
      </c>
      <c r="G158" s="31" t="n">
        <f aca="false">IFERROR(F158-E158,"n/a")</f>
        <v>-0.0169230960681546</v>
      </c>
      <c r="H158" s="42" t="n">
        <v>0.050000001</v>
      </c>
      <c r="I158" s="60" t="str">
        <f aca="false">IFERROR(IF(ABS(F158-E158)&lt;=H158,"PASS","FAIL"),"FAIL")</f>
        <v>PASS</v>
      </c>
    </row>
    <row r="159" customFormat="false" ht="15" hidden="false" customHeight="false" outlineLevel="0" collapsed="false">
      <c r="B159" s="61" t="n">
        <v>151</v>
      </c>
      <c r="C159" s="9" t="s">
        <v>725</v>
      </c>
      <c r="D159" s="9" t="s">
        <v>876</v>
      </c>
      <c r="E159" s="12" t="n">
        <v>327.2</v>
      </c>
      <c r="F159" s="56" t="n">
        <f aca="false">Model!$D$32</f>
        <v>327.19</v>
      </c>
      <c r="G159" s="31" t="n">
        <f aca="false">IFERROR(F159-E159,"n/a")</f>
        <v>-0.00999999999993406</v>
      </c>
      <c r="H159" s="42" t="n">
        <v>0.050000001</v>
      </c>
      <c r="I159" s="60" t="str">
        <f aca="false">IFERROR(IF(ABS(F159-E159)&lt;=H159,"PASS","FAIL"),"FAIL")</f>
        <v>PASS</v>
      </c>
    </row>
    <row r="160" customFormat="false" ht="15" hidden="false" customHeight="false" outlineLevel="0" collapsed="false">
      <c r="B160" s="61" t="n">
        <v>152</v>
      </c>
      <c r="C160" s="9" t="s">
        <v>725</v>
      </c>
      <c r="D160" s="9" t="s">
        <v>877</v>
      </c>
      <c r="E160" s="12" t="n">
        <v>364.1</v>
      </c>
      <c r="F160" s="56" t="n">
        <f aca="false">Model!$E$32</f>
        <v>364.055</v>
      </c>
      <c r="G160" s="31" t="n">
        <f aca="false">IFERROR(F160-E160,"n/a")</f>
        <v>-0.0449999999999591</v>
      </c>
      <c r="H160" s="42" t="n">
        <v>0.050000001</v>
      </c>
      <c r="I160" s="60" t="str">
        <f aca="false">IFERROR(IF(ABS(F160-E160)&lt;=H160,"PASS","FAIL"),"FAIL")</f>
        <v>PASS</v>
      </c>
    </row>
    <row r="161" customFormat="false" ht="15" hidden="false" customHeight="false" outlineLevel="0" collapsed="false">
      <c r="B161" s="61" t="n">
        <v>153</v>
      </c>
      <c r="C161" s="9" t="s">
        <v>725</v>
      </c>
      <c r="D161" s="9" t="s">
        <v>878</v>
      </c>
      <c r="E161" s="12" t="n">
        <v>399.2</v>
      </c>
      <c r="F161" s="56" t="n">
        <f aca="false">Model!$F$32</f>
        <v>399.2</v>
      </c>
      <c r="G161" s="31" t="n">
        <f aca="false">IFERROR(F161-E161,"n/a")</f>
        <v>0</v>
      </c>
      <c r="H161" s="42" t="n">
        <v>0.050000001</v>
      </c>
      <c r="I161" s="60" t="str">
        <f aca="false">IFERROR(IF(ABS(F161-E161)&lt;=H161,"PASS","FAIL"),"FAIL")</f>
        <v>PASS</v>
      </c>
    </row>
    <row r="162" customFormat="false" ht="15" hidden="false" customHeight="false" outlineLevel="0" collapsed="false">
      <c r="B162" s="61" t="n">
        <v>154</v>
      </c>
      <c r="C162" s="9" t="s">
        <v>725</v>
      </c>
      <c r="D162" s="9" t="s">
        <v>879</v>
      </c>
      <c r="E162" s="12" t="n">
        <v>434.3</v>
      </c>
      <c r="F162" s="56" t="n">
        <f aca="false">Model!$G$32</f>
        <v>434.305248</v>
      </c>
      <c r="G162" s="31" t="n">
        <f aca="false">IFERROR(F162-E162,"n/a")</f>
        <v>0.00524800000005143</v>
      </c>
      <c r="H162" s="42" t="n">
        <v>0.050000001</v>
      </c>
      <c r="I162" s="60" t="str">
        <f aca="false">IFERROR(IF(ABS(F162-E162)&lt;=H162,"PASS","FAIL"),"FAIL")</f>
        <v>PASS</v>
      </c>
    </row>
    <row r="163" customFormat="false" ht="15" hidden="false" customHeight="false" outlineLevel="0" collapsed="false">
      <c r="B163" s="61" t="n">
        <v>155</v>
      </c>
      <c r="C163" s="9" t="s">
        <v>725</v>
      </c>
      <c r="D163" s="9" t="s">
        <v>880</v>
      </c>
      <c r="E163" s="12" t="n">
        <v>476.9</v>
      </c>
      <c r="F163" s="56" t="n">
        <f aca="false">Model!$H$32</f>
        <v>476.8862843952</v>
      </c>
      <c r="G163" s="31" t="n">
        <f aca="false">IFERROR(F163-E163,"n/a")</f>
        <v>-0.013715604799927</v>
      </c>
      <c r="H163" s="42" t="n">
        <v>0.050000001</v>
      </c>
      <c r="I163" s="60" t="str">
        <f aca="false">IFERROR(IF(ABS(F163-E163)&lt;=H163,"PASS","FAIL"),"FAIL")</f>
        <v>PASS</v>
      </c>
    </row>
    <row r="164" customFormat="false" ht="15" hidden="false" customHeight="false" outlineLevel="0" collapsed="false">
      <c r="B164" s="61" t="n">
        <v>156</v>
      </c>
      <c r="C164" s="9" t="s">
        <v>725</v>
      </c>
      <c r="D164" s="9" t="s">
        <v>881</v>
      </c>
      <c r="E164" s="12" t="n">
        <v>520.3</v>
      </c>
      <c r="F164" s="56" t="n">
        <f aca="false">Model!$I$32</f>
        <v>520.335383950121</v>
      </c>
      <c r="G164" s="31" t="n">
        <f aca="false">IFERROR(F164-E164,"n/a")</f>
        <v>0.035383950121286</v>
      </c>
      <c r="H164" s="42" t="n">
        <v>0.050000001</v>
      </c>
      <c r="I164" s="60" t="str">
        <f aca="false">IFERROR(IF(ABS(F164-E164)&lt;=H164,"PASS","FAIL"),"FAIL")</f>
        <v>PASS</v>
      </c>
    </row>
    <row r="165" customFormat="false" ht="15" hidden="false" customHeight="false" outlineLevel="0" collapsed="false">
      <c r="B165" s="61" t="n">
        <v>157</v>
      </c>
      <c r="C165" s="9" t="s">
        <v>725</v>
      </c>
      <c r="D165" s="9" t="s">
        <v>882</v>
      </c>
      <c r="E165" s="12" t="n">
        <v>38</v>
      </c>
      <c r="F165" s="56" t="n">
        <f aca="false">Model!$D$33</f>
        <v>38</v>
      </c>
      <c r="G165" s="31" t="n">
        <f aca="false">IFERROR(F165-E165,"n/a")</f>
        <v>0</v>
      </c>
      <c r="H165" s="42" t="n">
        <v>0.050000001</v>
      </c>
      <c r="I165" s="60" t="str">
        <f aca="false">IFERROR(IF(ABS(F165-E165)&lt;=H165,"PASS","FAIL"),"FAIL")</f>
        <v>PASS</v>
      </c>
    </row>
    <row r="166" customFormat="false" ht="15" hidden="false" customHeight="false" outlineLevel="0" collapsed="false">
      <c r="B166" s="61" t="n">
        <v>158</v>
      </c>
      <c r="C166" s="9" t="s">
        <v>725</v>
      </c>
      <c r="D166" s="9" t="s">
        <v>883</v>
      </c>
      <c r="E166" s="12" t="n">
        <v>38</v>
      </c>
      <c r="F166" s="56" t="n">
        <f aca="false">Model!$E$33</f>
        <v>38</v>
      </c>
      <c r="G166" s="31" t="n">
        <f aca="false">IFERROR(F166-E166,"n/a")</f>
        <v>0</v>
      </c>
      <c r="H166" s="42" t="n">
        <v>0.050000001</v>
      </c>
      <c r="I166" s="60" t="str">
        <f aca="false">IFERROR(IF(ABS(F166-E166)&lt;=H166,"PASS","FAIL"),"FAIL")</f>
        <v>PASS</v>
      </c>
    </row>
    <row r="167" customFormat="false" ht="15" hidden="false" customHeight="false" outlineLevel="0" collapsed="false">
      <c r="B167" s="61" t="n">
        <v>159</v>
      </c>
      <c r="C167" s="9" t="s">
        <v>725</v>
      </c>
      <c r="D167" s="9" t="s">
        <v>884</v>
      </c>
      <c r="E167" s="12" t="n">
        <v>38</v>
      </c>
      <c r="F167" s="56" t="n">
        <f aca="false">Model!$F$33</f>
        <v>38</v>
      </c>
      <c r="G167" s="31" t="n">
        <f aca="false">IFERROR(F167-E167,"n/a")</f>
        <v>0</v>
      </c>
      <c r="H167" s="42" t="n">
        <v>0.050000001</v>
      </c>
      <c r="I167" s="60" t="str">
        <f aca="false">IFERROR(IF(ABS(F167-E167)&lt;=H167,"PASS","FAIL"),"FAIL")</f>
        <v>PASS</v>
      </c>
    </row>
    <row r="168" customFormat="false" ht="15" hidden="false" customHeight="false" outlineLevel="0" collapsed="false">
      <c r="B168" s="61" t="n">
        <v>160</v>
      </c>
      <c r="C168" s="9" t="s">
        <v>725</v>
      </c>
      <c r="D168" s="9" t="s">
        <v>885</v>
      </c>
      <c r="E168" s="12" t="n">
        <v>38</v>
      </c>
      <c r="F168" s="56" t="n">
        <f aca="false">Model!$G$33</f>
        <v>38</v>
      </c>
      <c r="G168" s="31" t="n">
        <f aca="false">IFERROR(F168-E168,"n/a")</f>
        <v>0</v>
      </c>
      <c r="H168" s="42" t="n">
        <v>0.050000001</v>
      </c>
      <c r="I168" s="60" t="str">
        <f aca="false">IFERROR(IF(ABS(F168-E168)&lt;=H168,"PASS","FAIL"),"FAIL")</f>
        <v>PASS</v>
      </c>
    </row>
    <row r="169" customFormat="false" ht="15" hidden="false" customHeight="false" outlineLevel="0" collapsed="false">
      <c r="B169" s="61" t="n">
        <v>161</v>
      </c>
      <c r="C169" s="9" t="s">
        <v>725</v>
      </c>
      <c r="D169" s="9" t="s">
        <v>886</v>
      </c>
      <c r="E169" s="12" t="n">
        <v>36</v>
      </c>
      <c r="F169" s="56" t="n">
        <f aca="false">Model!$H$33</f>
        <v>36</v>
      </c>
      <c r="G169" s="31" t="n">
        <f aca="false">IFERROR(F169-E169,"n/a")</f>
        <v>0</v>
      </c>
      <c r="H169" s="42" t="n">
        <v>0.050000001</v>
      </c>
      <c r="I169" s="60" t="str">
        <f aca="false">IFERROR(IF(ABS(F169-E169)&lt;=H169,"PASS","FAIL"),"FAIL")</f>
        <v>PASS</v>
      </c>
    </row>
    <row r="170" customFormat="false" ht="15" hidden="false" customHeight="false" outlineLevel="0" collapsed="false">
      <c r="B170" s="61" t="n">
        <v>162</v>
      </c>
      <c r="C170" s="9" t="s">
        <v>725</v>
      </c>
      <c r="D170" s="9" t="s">
        <v>887</v>
      </c>
      <c r="E170" s="12" t="n">
        <v>34</v>
      </c>
      <c r="F170" s="56" t="n">
        <f aca="false">Model!$I$33</f>
        <v>34</v>
      </c>
      <c r="G170" s="31" t="n">
        <f aca="false">IFERROR(F170-E170,"n/a")</f>
        <v>0</v>
      </c>
      <c r="H170" s="42" t="n">
        <v>0.050000001</v>
      </c>
      <c r="I170" s="60" t="str">
        <f aca="false">IFERROR(IF(ABS(F170-E170)&lt;=H170,"PASS","FAIL"),"FAIL")</f>
        <v>PASS</v>
      </c>
    </row>
    <row r="171" customFormat="false" ht="15" hidden="false" customHeight="false" outlineLevel="0" collapsed="false">
      <c r="B171" s="61" t="n">
        <v>163</v>
      </c>
      <c r="C171" s="9" t="s">
        <v>725</v>
      </c>
      <c r="D171" s="9" t="s">
        <v>888</v>
      </c>
      <c r="E171" s="12" t="n">
        <v>0</v>
      </c>
      <c r="F171" s="56" t="n">
        <f aca="false">Model!$D$34</f>
        <v>0</v>
      </c>
      <c r="G171" s="31" t="n">
        <f aca="false">IFERROR(F171-E171,"n/a")</f>
        <v>0</v>
      </c>
      <c r="H171" s="42" t="n">
        <v>0.050000001</v>
      </c>
      <c r="I171" s="60" t="str">
        <f aca="false">IFERROR(IF(ABS(F171-E171)&lt;=H171,"PASS","FAIL"),"FAIL")</f>
        <v>PASS</v>
      </c>
    </row>
    <row r="172" customFormat="false" ht="15" hidden="false" customHeight="false" outlineLevel="0" collapsed="false">
      <c r="B172" s="61" t="n">
        <v>164</v>
      </c>
      <c r="C172" s="9" t="s">
        <v>725</v>
      </c>
      <c r="D172" s="9" t="s">
        <v>889</v>
      </c>
      <c r="E172" s="12" t="n">
        <v>15</v>
      </c>
      <c r="F172" s="56" t="n">
        <f aca="false">Model!$E$34</f>
        <v>15</v>
      </c>
      <c r="G172" s="31" t="n">
        <f aca="false">IFERROR(F172-E172,"n/a")</f>
        <v>0</v>
      </c>
      <c r="H172" s="42" t="n">
        <v>0.050000001</v>
      </c>
      <c r="I172" s="60" t="str">
        <f aca="false">IFERROR(IF(ABS(F172-E172)&lt;=H172,"PASS","FAIL"),"FAIL")</f>
        <v>PASS</v>
      </c>
    </row>
    <row r="173" customFormat="false" ht="15" hidden="false" customHeight="false" outlineLevel="0" collapsed="false">
      <c r="B173" s="61" t="n">
        <v>165</v>
      </c>
      <c r="C173" s="9" t="s">
        <v>725</v>
      </c>
      <c r="D173" s="9" t="s">
        <v>890</v>
      </c>
      <c r="E173" s="12" t="n">
        <v>22</v>
      </c>
      <c r="F173" s="56" t="n">
        <f aca="false">Model!$F$34</f>
        <v>22</v>
      </c>
      <c r="G173" s="31" t="n">
        <f aca="false">IFERROR(F173-E173,"n/a")</f>
        <v>0</v>
      </c>
      <c r="H173" s="42" t="n">
        <v>0.050000001</v>
      </c>
      <c r="I173" s="60" t="str">
        <f aca="false">IFERROR(IF(ABS(F173-E173)&lt;=H173,"PASS","FAIL"),"FAIL")</f>
        <v>PASS</v>
      </c>
    </row>
    <row r="174" customFormat="false" ht="15" hidden="false" customHeight="false" outlineLevel="0" collapsed="false">
      <c r="B174" s="61" t="n">
        <v>166</v>
      </c>
      <c r="C174" s="9" t="s">
        <v>725</v>
      </c>
      <c r="D174" s="9" t="s">
        <v>891</v>
      </c>
      <c r="E174" s="12" t="n">
        <v>12</v>
      </c>
      <c r="F174" s="56" t="n">
        <f aca="false">Model!$G$34</f>
        <v>12</v>
      </c>
      <c r="G174" s="31" t="n">
        <f aca="false">IFERROR(F174-E174,"n/a")</f>
        <v>0</v>
      </c>
      <c r="H174" s="42" t="n">
        <v>0.050000001</v>
      </c>
      <c r="I174" s="60" t="str">
        <f aca="false">IFERROR(IF(ABS(F174-E174)&lt;=H174,"PASS","FAIL"),"FAIL")</f>
        <v>PASS</v>
      </c>
    </row>
    <row r="175" customFormat="false" ht="15" hidden="false" customHeight="false" outlineLevel="0" collapsed="false">
      <c r="B175" s="61" t="n">
        <v>167</v>
      </c>
      <c r="C175" s="9" t="s">
        <v>725</v>
      </c>
      <c r="D175" s="9" t="s">
        <v>892</v>
      </c>
      <c r="E175" s="12" t="n">
        <v>0</v>
      </c>
      <c r="F175" s="56" t="n">
        <f aca="false">Model!$H$34</f>
        <v>0</v>
      </c>
      <c r="G175" s="31" t="n">
        <f aca="false">IFERROR(F175-E175,"n/a")</f>
        <v>0</v>
      </c>
      <c r="H175" s="42" t="n">
        <v>0.050000001</v>
      </c>
      <c r="I175" s="60" t="str">
        <f aca="false">IFERROR(IF(ABS(F175-E175)&lt;=H175,"PASS","FAIL"),"FAIL")</f>
        <v>PASS</v>
      </c>
    </row>
    <row r="176" customFormat="false" ht="15" hidden="false" customHeight="false" outlineLevel="0" collapsed="false">
      <c r="B176" s="61" t="n">
        <v>168</v>
      </c>
      <c r="C176" s="9" t="s">
        <v>725</v>
      </c>
      <c r="D176" s="9" t="s">
        <v>893</v>
      </c>
      <c r="E176" s="12" t="n">
        <v>0</v>
      </c>
      <c r="F176" s="56" t="n">
        <f aca="false">Model!$I$34</f>
        <v>0</v>
      </c>
      <c r="G176" s="31" t="n">
        <f aca="false">IFERROR(F176-E176,"n/a")</f>
        <v>0</v>
      </c>
      <c r="H176" s="42" t="n">
        <v>0.050000001</v>
      </c>
      <c r="I176" s="60" t="str">
        <f aca="false">IFERROR(IF(ABS(F176-E176)&lt;=H176,"PASS","FAIL"),"FAIL")</f>
        <v>PASS</v>
      </c>
    </row>
    <row r="177" customFormat="false" ht="15" hidden="false" customHeight="false" outlineLevel="0" collapsed="false">
      <c r="B177" s="61" t="n">
        <v>169</v>
      </c>
      <c r="C177" s="9" t="s">
        <v>725</v>
      </c>
      <c r="D177" s="9" t="s">
        <v>894</v>
      </c>
      <c r="E177" s="12" t="n">
        <v>234.6</v>
      </c>
      <c r="F177" s="56" t="n">
        <f aca="false">Model!$D$35</f>
        <v>234.59</v>
      </c>
      <c r="G177" s="31" t="n">
        <f aca="false">IFERROR(F177-E177,"n/a")</f>
        <v>-0.00999999999996248</v>
      </c>
      <c r="H177" s="42" t="n">
        <v>0.050000001</v>
      </c>
      <c r="I177" s="60" t="str">
        <f aca="false">IFERROR(IF(ABS(F177-E177)&lt;=H177,"PASS","FAIL"),"FAIL")</f>
        <v>PASS</v>
      </c>
    </row>
    <row r="178" customFormat="false" ht="15" hidden="false" customHeight="false" outlineLevel="0" collapsed="false">
      <c r="B178" s="61" t="n">
        <v>170</v>
      </c>
      <c r="C178" s="9" t="s">
        <v>725</v>
      </c>
      <c r="D178" s="9" t="s">
        <v>895</v>
      </c>
      <c r="E178" s="12" t="n">
        <v>252.8</v>
      </c>
      <c r="F178" s="56" t="n">
        <f aca="false">Model!$E$35</f>
        <v>252.815</v>
      </c>
      <c r="G178" s="31" t="n">
        <f aca="false">IFERROR(F178-E178,"n/a")</f>
        <v>0.0150000000000432</v>
      </c>
      <c r="H178" s="42" t="n">
        <v>0.050000001</v>
      </c>
      <c r="I178" s="60" t="str">
        <f aca="false">IFERROR(IF(ABS(F178-E178)&lt;=H178,"PASS","FAIL"),"FAIL")</f>
        <v>PASS</v>
      </c>
    </row>
    <row r="179" customFormat="false" ht="15" hidden="false" customHeight="false" outlineLevel="0" collapsed="false">
      <c r="B179" s="61" t="n">
        <v>171</v>
      </c>
      <c r="C179" s="9" t="s">
        <v>725</v>
      </c>
      <c r="D179" s="9" t="s">
        <v>896</v>
      </c>
      <c r="E179" s="12" t="n">
        <v>277.6</v>
      </c>
      <c r="F179" s="56" t="n">
        <f aca="false">Model!$F$35</f>
        <v>277.6</v>
      </c>
      <c r="G179" s="31" t="n">
        <f aca="false">IFERROR(F179-E179,"n/a")</f>
        <v>0</v>
      </c>
      <c r="H179" s="42" t="n">
        <v>0.050000001</v>
      </c>
      <c r="I179" s="60" t="str">
        <f aca="false">IFERROR(IF(ABS(F179-E179)&lt;=H179,"PASS","FAIL"),"FAIL")</f>
        <v>PASS</v>
      </c>
    </row>
    <row r="180" customFormat="false" ht="15" hidden="false" customHeight="false" outlineLevel="0" collapsed="false">
      <c r="B180" s="61" t="n">
        <v>172</v>
      </c>
      <c r="C180" s="9" t="s">
        <v>725</v>
      </c>
      <c r="D180" s="9" t="s">
        <v>897</v>
      </c>
      <c r="E180" s="12" t="n">
        <v>319.2</v>
      </c>
      <c r="F180" s="56" t="n">
        <f aca="false">Model!$G$35</f>
        <v>319.172544</v>
      </c>
      <c r="G180" s="31" t="n">
        <f aca="false">IFERROR(F180-E180,"n/a")</f>
        <v>-0.0274559999999155</v>
      </c>
      <c r="H180" s="42" t="n">
        <v>0.050000001</v>
      </c>
      <c r="I180" s="60" t="str">
        <f aca="false">IFERROR(IF(ABS(F180-E180)&lt;=H180,"PASS","FAIL"),"FAIL")</f>
        <v>PASS</v>
      </c>
    </row>
    <row r="181" customFormat="false" ht="15" hidden="false" customHeight="false" outlineLevel="0" collapsed="false">
      <c r="B181" s="61" t="n">
        <v>173</v>
      </c>
      <c r="C181" s="9" t="s">
        <v>725</v>
      </c>
      <c r="D181" s="9" t="s">
        <v>898</v>
      </c>
      <c r="E181" s="12" t="n">
        <v>371.7</v>
      </c>
      <c r="F181" s="56" t="n">
        <f aca="false">Model!$H$35</f>
        <v>371.6504255408</v>
      </c>
      <c r="G181" s="31" t="n">
        <f aca="false">IFERROR(F181-E181,"n/a")</f>
        <v>-0.0495744591999596</v>
      </c>
      <c r="H181" s="42" t="n">
        <v>0.050000001</v>
      </c>
      <c r="I181" s="60" t="str">
        <f aca="false">IFERROR(IF(ABS(F181-E181)&lt;=H181,"PASS","FAIL"),"FAIL")</f>
        <v>PASS</v>
      </c>
    </row>
    <row r="182" customFormat="false" ht="15" hidden="false" customHeight="false" outlineLevel="0" collapsed="false">
      <c r="B182" s="61" t="n">
        <v>174</v>
      </c>
      <c r="C182" s="9" t="s">
        <v>725</v>
      </c>
      <c r="D182" s="9" t="s">
        <v>899</v>
      </c>
      <c r="E182" s="12" t="n">
        <v>412.8</v>
      </c>
      <c r="F182" s="56" t="n">
        <f aca="false">Model!$I$35</f>
        <v>412.752307046189</v>
      </c>
      <c r="G182" s="31" t="n">
        <f aca="false">IFERROR(F182-E182,"n/a")</f>
        <v>-0.0476929538105537</v>
      </c>
      <c r="H182" s="42" t="n">
        <v>0.050000001</v>
      </c>
      <c r="I182" s="60" t="str">
        <f aca="false">IFERROR(IF(ABS(F182-E182)&lt;=H182,"PASS","FAIL"),"FAIL")</f>
        <v>PASS</v>
      </c>
    </row>
    <row r="183" customFormat="false" ht="15" hidden="false" customHeight="false" outlineLevel="0" collapsed="false">
      <c r="B183" s="61" t="n">
        <v>175</v>
      </c>
      <c r="C183" s="9" t="s">
        <v>725</v>
      </c>
      <c r="D183" s="9" t="s">
        <v>900</v>
      </c>
      <c r="E183" s="12" t="n">
        <v>58</v>
      </c>
      <c r="F183" s="56" t="n">
        <f aca="false">Model!$D$37</f>
        <v>58</v>
      </c>
      <c r="G183" s="31" t="n">
        <f aca="false">IFERROR(F183-E183,"n/a")</f>
        <v>0</v>
      </c>
      <c r="H183" s="42" t="n">
        <v>0.050000001</v>
      </c>
      <c r="I183" s="60" t="str">
        <f aca="false">IFERROR(IF(ABS(F183-E183)&lt;=H183,"PASS","FAIL"),"FAIL")</f>
        <v>PASS</v>
      </c>
    </row>
    <row r="184" customFormat="false" ht="15" hidden="false" customHeight="false" outlineLevel="0" collapsed="false">
      <c r="B184" s="61" t="n">
        <v>176</v>
      </c>
      <c r="C184" s="9" t="s">
        <v>725</v>
      </c>
      <c r="D184" s="9" t="s">
        <v>901</v>
      </c>
      <c r="E184" s="12" t="n">
        <v>55</v>
      </c>
      <c r="F184" s="56" t="n">
        <f aca="false">Model!$E$37</f>
        <v>55</v>
      </c>
      <c r="G184" s="31" t="n">
        <f aca="false">IFERROR(F184-E184,"n/a")</f>
        <v>0</v>
      </c>
      <c r="H184" s="42" t="n">
        <v>0.050000001</v>
      </c>
      <c r="I184" s="60" t="str">
        <f aca="false">IFERROR(IF(ABS(F184-E184)&lt;=H184,"PASS","FAIL"),"FAIL")</f>
        <v>PASS</v>
      </c>
    </row>
    <row r="185" customFormat="false" ht="15" hidden="false" customHeight="false" outlineLevel="0" collapsed="false">
      <c r="B185" s="61" t="n">
        <v>177</v>
      </c>
      <c r="C185" s="9" t="s">
        <v>725</v>
      </c>
      <c r="D185" s="9" t="s">
        <v>902</v>
      </c>
      <c r="E185" s="12" t="n">
        <v>52</v>
      </c>
      <c r="F185" s="56" t="n">
        <f aca="false">Model!$F$37</f>
        <v>52</v>
      </c>
      <c r="G185" s="31" t="n">
        <f aca="false">IFERROR(F185-E185,"n/a")</f>
        <v>0</v>
      </c>
      <c r="H185" s="42" t="n">
        <v>0.050000001</v>
      </c>
      <c r="I185" s="60" t="str">
        <f aca="false">IFERROR(IF(ABS(F185-E185)&lt;=H185,"PASS","FAIL"),"FAIL")</f>
        <v>PASS</v>
      </c>
    </row>
    <row r="186" customFormat="false" ht="15" hidden="false" customHeight="false" outlineLevel="0" collapsed="false">
      <c r="B186" s="61" t="n">
        <v>178</v>
      </c>
      <c r="C186" s="9" t="s">
        <v>725</v>
      </c>
      <c r="D186" s="9" t="s">
        <v>903</v>
      </c>
      <c r="E186" s="12" t="n">
        <v>55</v>
      </c>
      <c r="F186" s="56" t="n">
        <f aca="false">Model!$G$37</f>
        <v>55</v>
      </c>
      <c r="G186" s="31" t="n">
        <f aca="false">IFERROR(F186-E186,"n/a")</f>
        <v>0</v>
      </c>
      <c r="H186" s="42" t="n">
        <v>0.050000001</v>
      </c>
      <c r="I186" s="60" t="str">
        <f aca="false">IFERROR(IF(ABS(F186-E186)&lt;=H186,"PASS","FAIL"),"FAIL")</f>
        <v>PASS</v>
      </c>
    </row>
    <row r="187" customFormat="false" ht="15" hidden="false" customHeight="false" outlineLevel="0" collapsed="false">
      <c r="B187" s="61" t="n">
        <v>179</v>
      </c>
      <c r="C187" s="9" t="s">
        <v>725</v>
      </c>
      <c r="D187" s="9" t="s">
        <v>904</v>
      </c>
      <c r="E187" s="12" t="n">
        <v>50.3</v>
      </c>
      <c r="F187" s="56" t="n">
        <f aca="false">Model!$H$37</f>
        <v>50.305102656</v>
      </c>
      <c r="G187" s="31" t="n">
        <f aca="false">IFERROR(F187-E187,"n/a")</f>
        <v>0.00510265600000537</v>
      </c>
      <c r="H187" s="42" t="n">
        <v>0.050000001</v>
      </c>
      <c r="I187" s="60" t="str">
        <f aca="false">IFERROR(IF(ABS(F187-E187)&lt;=H187,"PASS","FAIL"),"FAIL")</f>
        <v>PASS</v>
      </c>
    </row>
    <row r="188" customFormat="false" ht="15" hidden="false" customHeight="false" outlineLevel="0" collapsed="false">
      <c r="B188" s="61" t="n">
        <v>180</v>
      </c>
      <c r="C188" s="9" t="s">
        <v>725</v>
      </c>
      <c r="D188" s="9" t="s">
        <v>905</v>
      </c>
      <c r="E188" s="12" t="n">
        <v>44</v>
      </c>
      <c r="F188" s="56" t="n">
        <f aca="false">Model!$I$37</f>
        <v>43.9607207770952</v>
      </c>
      <c r="G188" s="31" t="n">
        <f aca="false">IFERROR(F188-E188,"n/a")</f>
        <v>-0.0392792229048027</v>
      </c>
      <c r="H188" s="42" t="n">
        <v>0.050000001</v>
      </c>
      <c r="I188" s="60" t="str">
        <f aca="false">IFERROR(IF(ABS(F188-E188)&lt;=H188,"PASS","FAIL"),"FAIL")</f>
        <v>PASS</v>
      </c>
    </row>
    <row r="189" customFormat="false" ht="15" hidden="false" customHeight="false" outlineLevel="0" collapsed="false">
      <c r="B189" s="61" t="n">
        <v>181</v>
      </c>
      <c r="C189" s="9" t="s">
        <v>725</v>
      </c>
      <c r="D189" s="9" t="s">
        <v>906</v>
      </c>
      <c r="E189" s="12" t="n">
        <v>176.6</v>
      </c>
      <c r="F189" s="56" t="n">
        <f aca="false">Model!$D$38</f>
        <v>176.59</v>
      </c>
      <c r="G189" s="31" t="n">
        <f aca="false">IFERROR(F189-E189,"n/a")</f>
        <v>-0.00999999999996248</v>
      </c>
      <c r="H189" s="42" t="n">
        <v>0.050000001</v>
      </c>
      <c r="I189" s="60" t="str">
        <f aca="false">IFERROR(IF(ABS(F189-E189)&lt;=H189,"PASS","FAIL"),"FAIL")</f>
        <v>PASS</v>
      </c>
    </row>
    <row r="190" customFormat="false" ht="15" hidden="false" customHeight="false" outlineLevel="0" collapsed="false">
      <c r="B190" s="61" t="n">
        <v>182</v>
      </c>
      <c r="C190" s="9" t="s">
        <v>725</v>
      </c>
      <c r="D190" s="9" t="s">
        <v>907</v>
      </c>
      <c r="E190" s="12" t="n">
        <v>197.8</v>
      </c>
      <c r="F190" s="56" t="n">
        <f aca="false">Model!$E$38</f>
        <v>197.815</v>
      </c>
      <c r="G190" s="31" t="n">
        <f aca="false">IFERROR(F190-E190,"n/a")</f>
        <v>0.0150000000000432</v>
      </c>
      <c r="H190" s="42" t="n">
        <v>0.050000001</v>
      </c>
      <c r="I190" s="60" t="str">
        <f aca="false">IFERROR(IF(ABS(F190-E190)&lt;=H190,"PASS","FAIL"),"FAIL")</f>
        <v>PASS</v>
      </c>
    </row>
    <row r="191" customFormat="false" ht="15" hidden="false" customHeight="false" outlineLevel="0" collapsed="false">
      <c r="B191" s="61" t="n">
        <v>183</v>
      </c>
      <c r="C191" s="9" t="s">
        <v>725</v>
      </c>
      <c r="D191" s="9" t="s">
        <v>908</v>
      </c>
      <c r="E191" s="12" t="n">
        <v>225.6</v>
      </c>
      <c r="F191" s="56" t="n">
        <f aca="false">Model!$F$38</f>
        <v>225.6</v>
      </c>
      <c r="G191" s="31" t="n">
        <f aca="false">IFERROR(F191-E191,"n/a")</f>
        <v>0</v>
      </c>
      <c r="H191" s="42" t="n">
        <v>0.050000001</v>
      </c>
      <c r="I191" s="60" t="str">
        <f aca="false">IFERROR(IF(ABS(F191-E191)&lt;=H191,"PASS","FAIL"),"FAIL")</f>
        <v>PASS</v>
      </c>
    </row>
    <row r="192" customFormat="false" ht="15" hidden="false" customHeight="false" outlineLevel="0" collapsed="false">
      <c r="B192" s="61" t="n">
        <v>184</v>
      </c>
      <c r="C192" s="9" t="s">
        <v>725</v>
      </c>
      <c r="D192" s="9" t="s">
        <v>909</v>
      </c>
      <c r="E192" s="12" t="n">
        <v>264.2</v>
      </c>
      <c r="F192" s="56" t="n">
        <f aca="false">Model!$G$38</f>
        <v>264.172544</v>
      </c>
      <c r="G192" s="31" t="n">
        <f aca="false">IFERROR(F192-E192,"n/a")</f>
        <v>-0.0274559999999155</v>
      </c>
      <c r="H192" s="42" t="n">
        <v>0.050000001</v>
      </c>
      <c r="I192" s="60" t="str">
        <f aca="false">IFERROR(IF(ABS(F192-E192)&lt;=H192,"PASS","FAIL"),"FAIL")</f>
        <v>PASS</v>
      </c>
    </row>
    <row r="193" customFormat="false" ht="15" hidden="false" customHeight="false" outlineLevel="0" collapsed="false">
      <c r="B193" s="61" t="n">
        <v>185</v>
      </c>
      <c r="C193" s="9" t="s">
        <v>725</v>
      </c>
      <c r="D193" s="9" t="s">
        <v>910</v>
      </c>
      <c r="E193" s="12" t="n">
        <v>321.3</v>
      </c>
      <c r="F193" s="56" t="n">
        <f aca="false">Model!$H$38</f>
        <v>321.3453228848</v>
      </c>
      <c r="G193" s="31" t="n">
        <f aca="false">IFERROR(F193-E193,"n/a")</f>
        <v>0.0453228847999867</v>
      </c>
      <c r="H193" s="42" t="n">
        <v>0.050000001</v>
      </c>
      <c r="I193" s="60" t="str">
        <f aca="false">IFERROR(IF(ABS(F193-E193)&lt;=H193,"PASS","FAIL"),"FAIL")</f>
        <v>PASS</v>
      </c>
    </row>
    <row r="194" customFormat="false" ht="15" hidden="false" customHeight="false" outlineLevel="0" collapsed="false">
      <c r="B194" s="61" t="n">
        <v>186</v>
      </c>
      <c r="C194" s="9" t="s">
        <v>725</v>
      </c>
      <c r="D194" s="9" t="s">
        <v>911</v>
      </c>
      <c r="E194" s="12" t="n">
        <v>368.8</v>
      </c>
      <c r="F194" s="56" t="n">
        <f aca="false">Model!$I$38</f>
        <v>368.791586269094</v>
      </c>
      <c r="G194" s="31" t="n">
        <f aca="false">IFERROR(F194-E194,"n/a")</f>
        <v>-0.00841373090577235</v>
      </c>
      <c r="H194" s="42" t="n">
        <v>0.050000001</v>
      </c>
      <c r="I194" s="60" t="str">
        <f aca="false">IFERROR(IF(ABS(F194-E194)&lt;=H194,"PASS","FAIL"),"FAIL")</f>
        <v>PASS</v>
      </c>
    </row>
    <row r="195" customFormat="false" ht="15" hidden="false" customHeight="false" outlineLevel="0" collapsed="false">
      <c r="B195" s="61" t="n">
        <v>187</v>
      </c>
      <c r="C195" s="9" t="s">
        <v>725</v>
      </c>
      <c r="D195" s="9" t="s">
        <v>912</v>
      </c>
      <c r="E195" s="12" t="n">
        <v>40.6</v>
      </c>
      <c r="F195" s="56" t="n">
        <f aca="false">Model!$D$39</f>
        <v>40.6157</v>
      </c>
      <c r="G195" s="31" t="n">
        <f aca="false">IFERROR(F195-E195,"n/a")</f>
        <v>0.0157000000000096</v>
      </c>
      <c r="H195" s="42" t="n">
        <v>0.050000001</v>
      </c>
      <c r="I195" s="60" t="str">
        <f aca="false">IFERROR(IF(ABS(F195-E195)&lt;=H195,"PASS","FAIL"),"FAIL")</f>
        <v>PASS</v>
      </c>
    </row>
    <row r="196" customFormat="false" ht="15" hidden="false" customHeight="false" outlineLevel="0" collapsed="false">
      <c r="B196" s="61" t="n">
        <v>188</v>
      </c>
      <c r="C196" s="9" t="s">
        <v>725</v>
      </c>
      <c r="D196" s="9" t="s">
        <v>913</v>
      </c>
      <c r="E196" s="12" t="n">
        <v>45.5</v>
      </c>
      <c r="F196" s="56" t="n">
        <f aca="false">Model!$E$39</f>
        <v>45.49745</v>
      </c>
      <c r="G196" s="31" t="n">
        <f aca="false">IFERROR(F196-E196,"n/a")</f>
        <v>-0.00254999999998518</v>
      </c>
      <c r="H196" s="42" t="n">
        <v>0.050000001</v>
      </c>
      <c r="I196" s="60" t="str">
        <f aca="false">IFERROR(IF(ABS(F196-E196)&lt;=H196,"PASS","FAIL"),"FAIL")</f>
        <v>PASS</v>
      </c>
    </row>
    <row r="197" customFormat="false" ht="15" hidden="false" customHeight="false" outlineLevel="0" collapsed="false">
      <c r="B197" s="61" t="n">
        <v>189</v>
      </c>
      <c r="C197" s="9" t="s">
        <v>725</v>
      </c>
      <c r="D197" s="9" t="s">
        <v>914</v>
      </c>
      <c r="E197" s="12" t="n">
        <v>51.9</v>
      </c>
      <c r="F197" s="56" t="n">
        <f aca="false">Model!$F$39</f>
        <v>51.888</v>
      </c>
      <c r="G197" s="31" t="n">
        <f aca="false">IFERROR(F197-E197,"n/a")</f>
        <v>-0.0119999999999934</v>
      </c>
      <c r="H197" s="42" t="n">
        <v>0.050000001</v>
      </c>
      <c r="I197" s="60" t="str">
        <f aca="false">IFERROR(IF(ABS(F197-E197)&lt;=H197,"PASS","FAIL"),"FAIL")</f>
        <v>PASS</v>
      </c>
    </row>
    <row r="198" customFormat="false" ht="15" hidden="false" customHeight="false" outlineLevel="0" collapsed="false">
      <c r="B198" s="61" t="n">
        <v>190</v>
      </c>
      <c r="C198" s="9" t="s">
        <v>725</v>
      </c>
      <c r="D198" s="9" t="s">
        <v>915</v>
      </c>
      <c r="E198" s="12" t="n">
        <v>60.8</v>
      </c>
      <c r="F198" s="56" t="n">
        <f aca="false">Model!$G$39</f>
        <v>60.75968512</v>
      </c>
      <c r="G198" s="31" t="n">
        <f aca="false">IFERROR(F198-E198,"n/a")</f>
        <v>-0.0403148799999755</v>
      </c>
      <c r="H198" s="42" t="n">
        <v>0.050000001</v>
      </c>
      <c r="I198" s="60" t="str">
        <f aca="false">IFERROR(IF(ABS(F198-E198)&lt;=H198,"PASS","FAIL"),"FAIL")</f>
        <v>PASS</v>
      </c>
    </row>
    <row r="199" customFormat="false" ht="15" hidden="false" customHeight="false" outlineLevel="0" collapsed="false">
      <c r="B199" s="61" t="n">
        <v>191</v>
      </c>
      <c r="C199" s="9" t="s">
        <v>725</v>
      </c>
      <c r="D199" s="9" t="s">
        <v>916</v>
      </c>
      <c r="E199" s="12" t="n">
        <v>73.9</v>
      </c>
      <c r="F199" s="56" t="n">
        <f aca="false">Model!$H$39</f>
        <v>73.909424263504</v>
      </c>
      <c r="G199" s="31" t="n">
        <f aca="false">IFERROR(F199-E199,"n/a")</f>
        <v>0.00942426350400183</v>
      </c>
      <c r="H199" s="42" t="n">
        <v>0.050000001</v>
      </c>
      <c r="I199" s="60" t="str">
        <f aca="false">IFERROR(IF(ABS(F199-E199)&lt;=H199,"PASS","FAIL"),"FAIL")</f>
        <v>PASS</v>
      </c>
    </row>
    <row r="200" customFormat="false" ht="15" hidden="false" customHeight="false" outlineLevel="0" collapsed="false">
      <c r="B200" s="61" t="n">
        <v>192</v>
      </c>
      <c r="C200" s="9" t="s">
        <v>725</v>
      </c>
      <c r="D200" s="9" t="s">
        <v>917</v>
      </c>
      <c r="E200" s="12" t="n">
        <v>84.8</v>
      </c>
      <c r="F200" s="56" t="n">
        <f aca="false">Model!$I$39</f>
        <v>84.8220648418917</v>
      </c>
      <c r="G200" s="31" t="n">
        <f aca="false">IFERROR(F200-E200,"n/a")</f>
        <v>0.0220648418916767</v>
      </c>
      <c r="H200" s="42" t="n">
        <v>0.050000001</v>
      </c>
      <c r="I200" s="60" t="str">
        <f aca="false">IFERROR(IF(ABS(F200-E200)&lt;=H200,"PASS","FAIL"),"FAIL")</f>
        <v>PASS</v>
      </c>
    </row>
    <row r="201" customFormat="false" ht="15" hidden="false" customHeight="false" outlineLevel="0" collapsed="false">
      <c r="B201" s="61" t="n">
        <v>193</v>
      </c>
      <c r="C201" s="9" t="s">
        <v>725</v>
      </c>
      <c r="D201" s="9" t="s">
        <v>918</v>
      </c>
      <c r="E201" s="12" t="n">
        <v>136</v>
      </c>
      <c r="F201" s="56" t="n">
        <f aca="false">Model!$D$40</f>
        <v>135.9743</v>
      </c>
      <c r="G201" s="31" t="n">
        <f aca="false">IFERROR(F201-E201,"n/a")</f>
        <v>-0.0256999999999721</v>
      </c>
      <c r="H201" s="42" t="n">
        <v>0.050000001</v>
      </c>
      <c r="I201" s="60" t="str">
        <f aca="false">IFERROR(IF(ABS(F201-E201)&lt;=H201,"PASS","FAIL"),"FAIL")</f>
        <v>PASS</v>
      </c>
    </row>
    <row r="202" customFormat="false" ht="15" hidden="false" customHeight="false" outlineLevel="0" collapsed="false">
      <c r="B202" s="61" t="n">
        <v>194</v>
      </c>
      <c r="C202" s="9" t="s">
        <v>725</v>
      </c>
      <c r="D202" s="9" t="s">
        <v>919</v>
      </c>
      <c r="E202" s="12" t="n">
        <v>152.3</v>
      </c>
      <c r="F202" s="56" t="n">
        <f aca="false">Model!$E$40</f>
        <v>152.31755</v>
      </c>
      <c r="G202" s="31" t="n">
        <f aca="false">IFERROR(F202-E202,"n/a")</f>
        <v>0.0175500000000284</v>
      </c>
      <c r="H202" s="42" t="n">
        <v>0.050000001</v>
      </c>
      <c r="I202" s="60" t="str">
        <f aca="false">IFERROR(IF(ABS(F202-E202)&lt;=H202,"PASS","FAIL"),"FAIL")</f>
        <v>PASS</v>
      </c>
    </row>
    <row r="203" customFormat="false" ht="15" hidden="false" customHeight="false" outlineLevel="0" collapsed="false">
      <c r="B203" s="61" t="n">
        <v>195</v>
      </c>
      <c r="C203" s="9" t="s">
        <v>725</v>
      </c>
      <c r="D203" s="9" t="s">
        <v>920</v>
      </c>
      <c r="E203" s="12" t="n">
        <v>173.7</v>
      </c>
      <c r="F203" s="56" t="n">
        <f aca="false">Model!$F$40</f>
        <v>173.712</v>
      </c>
      <c r="G203" s="31" t="n">
        <f aca="false">IFERROR(F203-E203,"n/a")</f>
        <v>0.0120000000000289</v>
      </c>
      <c r="H203" s="42" t="n">
        <v>0.050000001</v>
      </c>
      <c r="I203" s="60" t="str">
        <f aca="false">IFERROR(IF(ABS(F203-E203)&lt;=H203,"PASS","FAIL"),"FAIL")</f>
        <v>PASS</v>
      </c>
    </row>
    <row r="204" customFormat="false" ht="15" hidden="false" customHeight="false" outlineLevel="0" collapsed="false">
      <c r="B204" s="61" t="n">
        <v>196</v>
      </c>
      <c r="C204" s="9" t="s">
        <v>725</v>
      </c>
      <c r="D204" s="9" t="s">
        <v>921</v>
      </c>
      <c r="E204" s="12" t="n">
        <v>203.4</v>
      </c>
      <c r="F204" s="56" t="n">
        <f aca="false">Model!$G$40</f>
        <v>203.41285888</v>
      </c>
      <c r="G204" s="31" t="n">
        <f aca="false">IFERROR(F204-E204,"n/a")</f>
        <v>0.0128588800000387</v>
      </c>
      <c r="H204" s="42" t="n">
        <v>0.050000001</v>
      </c>
      <c r="I204" s="60" t="str">
        <f aca="false">IFERROR(IF(ABS(F204-E204)&lt;=H204,"PASS","FAIL"),"FAIL")</f>
        <v>PASS</v>
      </c>
    </row>
    <row r="205" customFormat="false" ht="15" hidden="false" customHeight="false" outlineLevel="0" collapsed="false">
      <c r="B205" s="61" t="n">
        <v>197</v>
      </c>
      <c r="C205" s="9" t="s">
        <v>725</v>
      </c>
      <c r="D205" s="9" t="s">
        <v>922</v>
      </c>
      <c r="E205" s="12" t="n">
        <v>247.4</v>
      </c>
      <c r="F205" s="56" t="n">
        <f aca="false">Model!$H$40</f>
        <v>247.435898621296</v>
      </c>
      <c r="G205" s="31" t="n">
        <f aca="false">IFERROR(F205-E205,"n/a")</f>
        <v>0.0358986212959849</v>
      </c>
      <c r="H205" s="42" t="n">
        <v>0.050000001</v>
      </c>
      <c r="I205" s="60" t="str">
        <f aca="false">IFERROR(IF(ABS(F205-E205)&lt;=H205,"PASS","FAIL"),"FAIL")</f>
        <v>PASS</v>
      </c>
    </row>
    <row r="206" customFormat="false" ht="15" hidden="false" customHeight="false" outlineLevel="0" collapsed="false">
      <c r="B206" s="61" t="n">
        <v>198</v>
      </c>
      <c r="C206" s="9" t="s">
        <v>725</v>
      </c>
      <c r="D206" s="9" t="s">
        <v>923</v>
      </c>
      <c r="E206" s="12" t="n">
        <v>284</v>
      </c>
      <c r="F206" s="56" t="n">
        <f aca="false">Model!$I$40</f>
        <v>283.969521427203</v>
      </c>
      <c r="G206" s="31" t="n">
        <f aca="false">IFERROR(F206-E206,"n/a")</f>
        <v>-0.030478572797449</v>
      </c>
      <c r="H206" s="42" t="n">
        <v>0.050000001</v>
      </c>
      <c r="I206" s="60" t="str">
        <f aca="false">IFERROR(IF(ABS(F206-E206)&lt;=H206,"PASS","FAIL"),"FAIL")</f>
        <v>PASS</v>
      </c>
    </row>
    <row r="207" customFormat="false" ht="15" hidden="false" customHeight="false" outlineLevel="0" collapsed="false">
      <c r="B207" s="61" t="n">
        <v>199</v>
      </c>
      <c r="C207" s="9" t="s">
        <v>725</v>
      </c>
      <c r="D207" s="9" t="s">
        <v>924</v>
      </c>
      <c r="E207" s="12" t="n">
        <v>57</v>
      </c>
      <c r="F207" s="56" t="n">
        <f aca="false">Model!$D$41</f>
        <v>57</v>
      </c>
      <c r="G207" s="31" t="n">
        <f aca="false">IFERROR(F207-E207,"n/a")</f>
        <v>0</v>
      </c>
      <c r="H207" s="42" t="n">
        <v>0.050000001</v>
      </c>
      <c r="I207" s="60" t="str">
        <f aca="false">IFERROR(IF(ABS(F207-E207)&lt;=H207,"PASS","FAIL"),"FAIL")</f>
        <v>PASS</v>
      </c>
    </row>
    <row r="208" customFormat="false" ht="15" hidden="false" customHeight="false" outlineLevel="0" collapsed="false">
      <c r="B208" s="61" t="n">
        <v>200</v>
      </c>
      <c r="C208" s="9" t="s">
        <v>725</v>
      </c>
      <c r="D208" s="9" t="s">
        <v>925</v>
      </c>
      <c r="E208" s="12" t="n">
        <v>56.3</v>
      </c>
      <c r="F208" s="56" t="n">
        <f aca="false">Model!$E$41</f>
        <v>56.3</v>
      </c>
      <c r="G208" s="31" t="n">
        <f aca="false">IFERROR(F208-E208,"n/a")</f>
        <v>0</v>
      </c>
      <c r="H208" s="42" t="n">
        <v>0.050000001</v>
      </c>
      <c r="I208" s="60" t="str">
        <f aca="false">IFERROR(IF(ABS(F208-E208)&lt;=H208,"PASS","FAIL"),"FAIL")</f>
        <v>PASS</v>
      </c>
    </row>
    <row r="209" customFormat="false" ht="15" hidden="false" customHeight="false" outlineLevel="0" collapsed="false">
      <c r="B209" s="61" t="n">
        <v>201</v>
      </c>
      <c r="C209" s="9" t="s">
        <v>725</v>
      </c>
      <c r="D209" s="9" t="s">
        <v>926</v>
      </c>
      <c r="E209" s="12" t="n">
        <v>55.6</v>
      </c>
      <c r="F209" s="56" t="n">
        <f aca="false">Model!$F$41</f>
        <v>55.6</v>
      </c>
      <c r="G209" s="31" t="n">
        <f aca="false">IFERROR(F209-E209,"n/a")</f>
        <v>0</v>
      </c>
      <c r="H209" s="42" t="n">
        <v>0.050000001</v>
      </c>
      <c r="I209" s="60" t="str">
        <f aca="false">IFERROR(IF(ABS(F209-E209)&lt;=H209,"PASS","FAIL"),"FAIL")</f>
        <v>PASS</v>
      </c>
    </row>
    <row r="210" customFormat="false" ht="15" hidden="false" customHeight="false" outlineLevel="0" collapsed="false">
      <c r="B210" s="61" t="n">
        <v>202</v>
      </c>
      <c r="C210" s="9" t="s">
        <v>725</v>
      </c>
      <c r="D210" s="9" t="s">
        <v>927</v>
      </c>
      <c r="E210" s="12" t="n">
        <v>55</v>
      </c>
      <c r="F210" s="56" t="n">
        <f aca="false">Model!$G$41</f>
        <v>55</v>
      </c>
      <c r="G210" s="31" t="n">
        <f aca="false">IFERROR(F210-E210,"n/a")</f>
        <v>0</v>
      </c>
      <c r="H210" s="42" t="n">
        <v>0.050000001</v>
      </c>
      <c r="I210" s="60" t="str">
        <f aca="false">IFERROR(IF(ABS(F210-E210)&lt;=H210,"PASS","FAIL"),"FAIL")</f>
        <v>PASS</v>
      </c>
    </row>
    <row r="211" customFormat="false" ht="15" hidden="false" customHeight="false" outlineLevel="0" collapsed="false">
      <c r="B211" s="61" t="n">
        <v>203</v>
      </c>
      <c r="C211" s="9" t="s">
        <v>725</v>
      </c>
      <c r="D211" s="9" t="s">
        <v>928</v>
      </c>
      <c r="E211" s="12" t="n">
        <v>54.4</v>
      </c>
      <c r="F211" s="56" t="n">
        <f aca="false">Model!$H$41</f>
        <v>54.4</v>
      </c>
      <c r="G211" s="31" t="n">
        <f aca="false">IFERROR(F211-E211,"n/a")</f>
        <v>0</v>
      </c>
      <c r="H211" s="42" t="n">
        <v>0.050000001</v>
      </c>
      <c r="I211" s="60" t="str">
        <f aca="false">IFERROR(IF(ABS(F211-E211)&lt;=H211,"PASS","FAIL"),"FAIL")</f>
        <v>PASS</v>
      </c>
    </row>
    <row r="212" customFormat="false" ht="15" hidden="false" customHeight="false" outlineLevel="0" collapsed="false">
      <c r="B212" s="61" t="n">
        <v>204</v>
      </c>
      <c r="C212" s="9" t="s">
        <v>725</v>
      </c>
      <c r="D212" s="9" t="s">
        <v>929</v>
      </c>
      <c r="E212" s="12" t="n">
        <v>53.8</v>
      </c>
      <c r="F212" s="56" t="n">
        <f aca="false">Model!$I$41</f>
        <v>53.8</v>
      </c>
      <c r="G212" s="31" t="n">
        <f aca="false">IFERROR(F212-E212,"n/a")</f>
        <v>0</v>
      </c>
      <c r="H212" s="42" t="n">
        <v>0.050000001</v>
      </c>
      <c r="I212" s="60" t="str">
        <f aca="false">IFERROR(IF(ABS(F212-E212)&lt;=H212,"PASS","FAIL"),"FAIL")</f>
        <v>PASS</v>
      </c>
    </row>
    <row r="213" customFormat="false" ht="15" hidden="false" customHeight="false" outlineLevel="0" collapsed="false">
      <c r="B213" s="61" t="n">
        <v>205</v>
      </c>
      <c r="C213" s="9" t="s">
        <v>725</v>
      </c>
      <c r="D213" s="9" t="s">
        <v>930</v>
      </c>
      <c r="E213" s="24" t="n">
        <v>2.39</v>
      </c>
      <c r="F213" s="55" t="n">
        <f aca="false">Model!$D$42</f>
        <v>2.38551403508772</v>
      </c>
      <c r="G213" s="31" t="n">
        <f aca="false">IFERROR(F213-E213,"n/a")</f>
        <v>-0.00448596491228015</v>
      </c>
      <c r="H213" s="42" t="n">
        <v>0.005000001</v>
      </c>
      <c r="I213" s="60" t="str">
        <f aca="false">IFERROR(IF(ABS(F213-E213)&lt;=H213,"PASS","FAIL"),"FAIL")</f>
        <v>PASS</v>
      </c>
    </row>
    <row r="214" customFormat="false" ht="15" hidden="false" customHeight="false" outlineLevel="0" collapsed="false">
      <c r="B214" s="61" t="n">
        <v>206</v>
      </c>
      <c r="C214" s="9" t="s">
        <v>725</v>
      </c>
      <c r="D214" s="9" t="s">
        <v>931</v>
      </c>
      <c r="E214" s="24" t="n">
        <v>2.71</v>
      </c>
      <c r="F214" s="55" t="n">
        <f aca="false">Model!$E$42</f>
        <v>2.70546269982238</v>
      </c>
      <c r="G214" s="31" t="n">
        <f aca="false">IFERROR(F214-E214,"n/a")</f>
        <v>-0.00453730017761922</v>
      </c>
      <c r="H214" s="42" t="n">
        <v>0.005000001</v>
      </c>
      <c r="I214" s="60" t="str">
        <f aca="false">IFERROR(IF(ABS(F214-E214)&lt;=H214,"PASS","FAIL"),"FAIL")</f>
        <v>PASS</v>
      </c>
    </row>
    <row r="215" customFormat="false" ht="15" hidden="false" customHeight="false" outlineLevel="0" collapsed="false">
      <c r="B215" s="61" t="n">
        <v>207</v>
      </c>
      <c r="C215" s="9" t="s">
        <v>725</v>
      </c>
      <c r="D215" s="9" t="s">
        <v>932</v>
      </c>
      <c r="E215" s="24" t="n">
        <v>3.12</v>
      </c>
      <c r="F215" s="55" t="n">
        <f aca="false">Model!$F$42</f>
        <v>3.12431654676259</v>
      </c>
      <c r="G215" s="31" t="n">
        <f aca="false">IFERROR(F215-E215,"n/a")</f>
        <v>0.00431654676259008</v>
      </c>
      <c r="H215" s="42" t="n">
        <v>0.005000001</v>
      </c>
      <c r="I215" s="60" t="str">
        <f aca="false">IFERROR(IF(ABS(F215-E215)&lt;=H215,"PASS","FAIL"),"FAIL")</f>
        <v>PASS</v>
      </c>
    </row>
    <row r="216" customFormat="false" ht="15" hidden="false" customHeight="false" outlineLevel="0" collapsed="false">
      <c r="B216" s="61" t="n">
        <v>208</v>
      </c>
      <c r="C216" s="9" t="s">
        <v>725</v>
      </c>
      <c r="D216" s="9" t="s">
        <v>933</v>
      </c>
      <c r="E216" s="24" t="n">
        <v>3.7</v>
      </c>
      <c r="F216" s="55" t="n">
        <f aca="false">Model!$G$42</f>
        <v>3.698415616</v>
      </c>
      <c r="G216" s="31" t="n">
        <f aca="false">IFERROR(F216-E216,"n/a")</f>
        <v>-0.00158438399999916</v>
      </c>
      <c r="H216" s="42" t="n">
        <v>0.005000001</v>
      </c>
      <c r="I216" s="60" t="str">
        <f aca="false">IFERROR(IF(ABS(F216-E216)&lt;=H216,"PASS","FAIL"),"FAIL")</f>
        <v>PASS</v>
      </c>
    </row>
    <row r="217" customFormat="false" ht="15" hidden="false" customHeight="false" outlineLevel="0" collapsed="false">
      <c r="B217" s="61" t="n">
        <v>209</v>
      </c>
      <c r="C217" s="9" t="s">
        <v>725</v>
      </c>
      <c r="D217" s="9" t="s">
        <v>934</v>
      </c>
      <c r="E217" s="24" t="n">
        <v>4.55</v>
      </c>
      <c r="F217" s="55" t="n">
        <f aca="false">Model!$H$42</f>
        <v>4.54845401877382</v>
      </c>
      <c r="G217" s="31" t="n">
        <f aca="false">IFERROR(F217-E217,"n/a")</f>
        <v>-0.001545981226176</v>
      </c>
      <c r="H217" s="42" t="n">
        <v>0.005000001</v>
      </c>
      <c r="I217" s="60" t="str">
        <f aca="false">IFERROR(IF(ABS(F217-E217)&lt;=H217,"PASS","FAIL"),"FAIL")</f>
        <v>PASS</v>
      </c>
    </row>
    <row r="218" customFormat="false" ht="15" hidden="false" customHeight="false" outlineLevel="0" collapsed="false">
      <c r="B218" s="61" t="n">
        <v>210</v>
      </c>
      <c r="C218" s="9" t="s">
        <v>725</v>
      </c>
      <c r="D218" s="9" t="s">
        <v>935</v>
      </c>
      <c r="E218" s="24" t="n">
        <v>5.28</v>
      </c>
      <c r="F218" s="55" t="n">
        <f aca="false">Model!$I$42</f>
        <v>5.27824389269893</v>
      </c>
      <c r="G218" s="31" t="n">
        <f aca="false">IFERROR(F218-E218,"n/a")</f>
        <v>-0.0017561073010679</v>
      </c>
      <c r="H218" s="42" t="n">
        <v>0.005000001</v>
      </c>
      <c r="I218" s="60" t="str">
        <f aca="false">IFERROR(IF(ABS(F218-E218)&lt;=H218,"PASS","FAIL"),"FAIL")</f>
        <v>PASS</v>
      </c>
    </row>
    <row r="219" customFormat="false" ht="15" hidden="false" customHeight="false" outlineLevel="0" collapsed="false">
      <c r="B219" s="61" t="n">
        <v>211</v>
      </c>
      <c r="C219" s="9" t="s">
        <v>725</v>
      </c>
      <c r="D219" s="9" t="s">
        <v>936</v>
      </c>
      <c r="E219" s="12" t="n">
        <v>29.3</v>
      </c>
      <c r="F219" s="56" t="n">
        <f aca="false">Model!$D$46</f>
        <v>29.26</v>
      </c>
      <c r="G219" s="31" t="n">
        <f aca="false">IFERROR(F219-E219,"n/a")</f>
        <v>-0.0399999999999992</v>
      </c>
      <c r="H219" s="42" t="n">
        <v>0.050000001</v>
      </c>
      <c r="I219" s="60" t="str">
        <f aca="false">IFERROR(IF(ABS(F219-E219)&lt;=H219,"PASS","FAIL"),"FAIL")</f>
        <v>PASS</v>
      </c>
    </row>
    <row r="220" customFormat="false" ht="15" hidden="false" customHeight="false" outlineLevel="0" collapsed="false">
      <c r="B220" s="61" t="n">
        <v>212</v>
      </c>
      <c r="C220" s="9" t="s">
        <v>725</v>
      </c>
      <c r="D220" s="9" t="s">
        <v>937</v>
      </c>
      <c r="E220" s="12" t="n">
        <v>40.8</v>
      </c>
      <c r="F220" s="56" t="n">
        <f aca="false">Model!$E$46</f>
        <v>40.81</v>
      </c>
      <c r="G220" s="31" t="n">
        <f aca="false">IFERROR(F220-E220,"n/a")</f>
        <v>0.0100000000000051</v>
      </c>
      <c r="H220" s="42" t="n">
        <v>0.050000001</v>
      </c>
      <c r="I220" s="60" t="str">
        <f aca="false">IFERROR(IF(ABS(F220-E220)&lt;=H220,"PASS","FAIL"),"FAIL")</f>
        <v>PASS</v>
      </c>
    </row>
    <row r="221" customFormat="false" ht="15" hidden="false" customHeight="false" outlineLevel="0" collapsed="false">
      <c r="B221" s="61" t="n">
        <v>213</v>
      </c>
      <c r="C221" s="9" t="s">
        <v>725</v>
      </c>
      <c r="D221" s="9" t="s">
        <v>938</v>
      </c>
      <c r="E221" s="12" t="n">
        <v>46.2</v>
      </c>
      <c r="F221" s="56" t="n">
        <f aca="false">Model!$F$46</f>
        <v>46.2</v>
      </c>
      <c r="G221" s="31" t="n">
        <f aca="false">IFERROR(F221-E221,"n/a")</f>
        <v>0</v>
      </c>
      <c r="H221" s="42" t="n">
        <v>0.050000001</v>
      </c>
      <c r="I221" s="60" t="str">
        <f aca="false">IFERROR(IF(ABS(F221-E221)&lt;=H221,"PASS","FAIL"),"FAIL")</f>
        <v>PASS</v>
      </c>
    </row>
    <row r="222" customFormat="false" ht="15" hidden="false" customHeight="false" outlineLevel="0" collapsed="false">
      <c r="B222" s="61" t="n">
        <v>214</v>
      </c>
      <c r="C222" s="9" t="s">
        <v>725</v>
      </c>
      <c r="D222" s="9" t="s">
        <v>939</v>
      </c>
      <c r="E222" s="12" t="n">
        <v>38.5</v>
      </c>
      <c r="F222" s="56" t="n">
        <f aca="false">Model!$G$46</f>
        <v>38.5</v>
      </c>
      <c r="G222" s="31" t="n">
        <f aca="false">IFERROR(F222-E222,"n/a")</f>
        <v>0</v>
      </c>
      <c r="H222" s="42" t="n">
        <v>0.050000001</v>
      </c>
      <c r="I222" s="60" t="str">
        <f aca="false">IFERROR(IF(ABS(F222-E222)&lt;=H222,"PASS","FAIL"),"FAIL")</f>
        <v>PASS</v>
      </c>
    </row>
    <row r="223" customFormat="false" ht="15" hidden="false" customHeight="false" outlineLevel="0" collapsed="false">
      <c r="B223" s="61" t="n">
        <v>215</v>
      </c>
      <c r="C223" s="9" t="s">
        <v>725</v>
      </c>
      <c r="D223" s="9" t="s">
        <v>940</v>
      </c>
      <c r="E223" s="12" t="n">
        <v>27.7</v>
      </c>
      <c r="F223" s="56" t="n">
        <f aca="false">Model!$H$46</f>
        <v>27.72</v>
      </c>
      <c r="G223" s="31" t="n">
        <f aca="false">IFERROR(F223-E223,"n/a")</f>
        <v>0.0199999999999996</v>
      </c>
      <c r="H223" s="42" t="n">
        <v>0.050000001</v>
      </c>
      <c r="I223" s="60" t="str">
        <f aca="false">IFERROR(IF(ABS(F223-E223)&lt;=H223,"PASS","FAIL"),"FAIL")</f>
        <v>PASS</v>
      </c>
    </row>
    <row r="224" customFormat="false" ht="15" hidden="false" customHeight="false" outlineLevel="0" collapsed="false">
      <c r="B224" s="61" t="n">
        <v>216</v>
      </c>
      <c r="C224" s="9" t="s">
        <v>725</v>
      </c>
      <c r="D224" s="9" t="s">
        <v>941</v>
      </c>
      <c r="E224" s="12" t="n">
        <v>26.2</v>
      </c>
      <c r="F224" s="56" t="n">
        <f aca="false">Model!$I$46</f>
        <v>26.18</v>
      </c>
      <c r="G224" s="31" t="n">
        <f aca="false">IFERROR(F224-E224,"n/a")</f>
        <v>-0.0199999999999996</v>
      </c>
      <c r="H224" s="42" t="n">
        <v>0.050000001</v>
      </c>
      <c r="I224" s="60" t="str">
        <f aca="false">IFERROR(IF(ABS(F224-E224)&lt;=H224,"PASS","FAIL"),"FAIL")</f>
        <v>PASS</v>
      </c>
    </row>
    <row r="225" customFormat="false" ht="15" hidden="false" customHeight="false" outlineLevel="0" collapsed="false">
      <c r="B225" s="61" t="n">
        <v>217</v>
      </c>
      <c r="C225" s="9" t="s">
        <v>725</v>
      </c>
      <c r="D225" s="9" t="s">
        <v>942</v>
      </c>
      <c r="E225" s="12" t="n">
        <v>165.2</v>
      </c>
      <c r="F225" s="56" t="n">
        <f aca="false">Model!$D$47</f>
        <v>165.2343</v>
      </c>
      <c r="G225" s="31" t="n">
        <f aca="false">IFERROR(F225-E225,"n/a")</f>
        <v>0.0343000000000302</v>
      </c>
      <c r="H225" s="42" t="n">
        <v>0.050000001</v>
      </c>
      <c r="I225" s="60" t="str">
        <f aca="false">IFERROR(IF(ABS(F225-E225)&lt;=H225,"PASS","FAIL"),"FAIL")</f>
        <v>PASS</v>
      </c>
    </row>
    <row r="226" customFormat="false" ht="15" hidden="false" customHeight="false" outlineLevel="0" collapsed="false">
      <c r="B226" s="61" t="n">
        <v>218</v>
      </c>
      <c r="C226" s="9" t="s">
        <v>725</v>
      </c>
      <c r="D226" s="9" t="s">
        <v>943</v>
      </c>
      <c r="E226" s="12" t="n">
        <v>193.1</v>
      </c>
      <c r="F226" s="56" t="n">
        <f aca="false">Model!$E$47</f>
        <v>193.12755</v>
      </c>
      <c r="G226" s="31" t="n">
        <f aca="false">IFERROR(F226-E226,"n/a")</f>
        <v>0.0275500000000477</v>
      </c>
      <c r="H226" s="42" t="n">
        <v>0.050000001</v>
      </c>
      <c r="I226" s="60" t="str">
        <f aca="false">IFERROR(IF(ABS(F226-E226)&lt;=H226,"PASS","FAIL"),"FAIL")</f>
        <v>PASS</v>
      </c>
    </row>
    <row r="227" customFormat="false" ht="15" hidden="false" customHeight="false" outlineLevel="0" collapsed="false">
      <c r="B227" s="61" t="n">
        <v>219</v>
      </c>
      <c r="C227" s="9" t="s">
        <v>725</v>
      </c>
      <c r="D227" s="9" t="s">
        <v>944</v>
      </c>
      <c r="E227" s="12" t="n">
        <v>219.9</v>
      </c>
      <c r="F227" s="56" t="n">
        <f aca="false">Model!$F$47</f>
        <v>219.912</v>
      </c>
      <c r="G227" s="31" t="n">
        <f aca="false">IFERROR(F227-E227,"n/a")</f>
        <v>0.0120000000000289</v>
      </c>
      <c r="H227" s="42" t="n">
        <v>0.050000001</v>
      </c>
      <c r="I227" s="60" t="str">
        <f aca="false">IFERROR(IF(ABS(F227-E227)&lt;=H227,"PASS","FAIL"),"FAIL")</f>
        <v>PASS</v>
      </c>
    </row>
    <row r="228" customFormat="false" ht="15" hidden="false" customHeight="false" outlineLevel="0" collapsed="false">
      <c r="B228" s="61" t="n">
        <v>220</v>
      </c>
      <c r="C228" s="9" t="s">
        <v>725</v>
      </c>
      <c r="D228" s="9" t="s">
        <v>945</v>
      </c>
      <c r="E228" s="12" t="n">
        <v>241.9</v>
      </c>
      <c r="F228" s="56" t="n">
        <f aca="false">Model!$G$47</f>
        <v>241.91285888</v>
      </c>
      <c r="G228" s="31" t="n">
        <f aca="false">IFERROR(F228-E228,"n/a")</f>
        <v>0.0128588800000387</v>
      </c>
      <c r="H228" s="42" t="n">
        <v>0.050000001</v>
      </c>
      <c r="I228" s="60" t="str">
        <f aca="false">IFERROR(IF(ABS(F228-E228)&lt;=H228,"PASS","FAIL"),"FAIL")</f>
        <v>PASS</v>
      </c>
    </row>
    <row r="229" customFormat="false" ht="15" hidden="false" customHeight="false" outlineLevel="0" collapsed="false">
      <c r="B229" s="61" t="n">
        <v>221</v>
      </c>
      <c r="C229" s="9" t="s">
        <v>725</v>
      </c>
      <c r="D229" s="9" t="s">
        <v>946</v>
      </c>
      <c r="E229" s="12" t="n">
        <v>275.2</v>
      </c>
      <c r="F229" s="56" t="n">
        <f aca="false">Model!$H$47</f>
        <v>275.155898621296</v>
      </c>
      <c r="G229" s="31" t="n">
        <f aca="false">IFERROR(F229-E229,"n/a")</f>
        <v>-0.0441013787039992</v>
      </c>
      <c r="H229" s="42" t="n">
        <v>0.050000001</v>
      </c>
      <c r="I229" s="60" t="str">
        <f aca="false">IFERROR(IF(ABS(F229-E229)&lt;=H229,"PASS","FAIL"),"FAIL")</f>
        <v>PASS</v>
      </c>
    </row>
    <row r="230" customFormat="false" ht="15" hidden="false" customHeight="false" outlineLevel="0" collapsed="false">
      <c r="B230" s="61" t="n">
        <v>222</v>
      </c>
      <c r="C230" s="9" t="s">
        <v>725</v>
      </c>
      <c r="D230" s="9" t="s">
        <v>947</v>
      </c>
      <c r="E230" s="12" t="n">
        <v>310.1</v>
      </c>
      <c r="F230" s="56" t="n">
        <f aca="false">Model!$I$47</f>
        <v>310.149521427203</v>
      </c>
      <c r="G230" s="31" t="n">
        <f aca="false">IFERROR(F230-E230,"n/a")</f>
        <v>0.0495214272025351</v>
      </c>
      <c r="H230" s="42" t="n">
        <v>0.050000001</v>
      </c>
      <c r="I230" s="60" t="str">
        <f aca="false">IFERROR(IF(ABS(F230-E230)&lt;=H230,"PASS","FAIL"),"FAIL")</f>
        <v>PASS</v>
      </c>
    </row>
    <row r="231" customFormat="false" ht="15" hidden="false" customHeight="false" outlineLevel="0" collapsed="false">
      <c r="B231" s="61" t="n">
        <v>223</v>
      </c>
      <c r="C231" s="9" t="s">
        <v>725</v>
      </c>
      <c r="D231" s="9" t="s">
        <v>948</v>
      </c>
      <c r="E231" s="24" t="n">
        <v>2.9</v>
      </c>
      <c r="F231" s="55" t="n">
        <f aca="false">Model!$D$48</f>
        <v>2.89884736842105</v>
      </c>
      <c r="G231" s="31" t="n">
        <f aca="false">IFERROR(F231-E231,"n/a")</f>
        <v>-0.00115263157894674</v>
      </c>
      <c r="H231" s="42" t="n">
        <v>0.005000001</v>
      </c>
      <c r="I231" s="60" t="str">
        <f aca="false">IFERROR(IF(ABS(F231-E231)&lt;=H231,"PASS","FAIL"),"FAIL")</f>
        <v>PASS</v>
      </c>
    </row>
    <row r="232" customFormat="false" ht="15" hidden="false" customHeight="false" outlineLevel="0" collapsed="false">
      <c r="B232" s="61" t="n">
        <v>224</v>
      </c>
      <c r="C232" s="9" t="s">
        <v>725</v>
      </c>
      <c r="D232" s="9" t="s">
        <v>949</v>
      </c>
      <c r="E232" s="24" t="n">
        <v>3.43</v>
      </c>
      <c r="F232" s="55" t="n">
        <f aca="false">Model!$E$48</f>
        <v>3.43032948490231</v>
      </c>
      <c r="G232" s="31" t="n">
        <f aca="false">IFERROR(F232-E232,"n/a")</f>
        <v>0.000329484902309662</v>
      </c>
      <c r="H232" s="42" t="n">
        <v>0.005000001</v>
      </c>
      <c r="I232" s="60" t="str">
        <f aca="false">IFERROR(IF(ABS(F232-E232)&lt;=H232,"PASS","FAIL"),"FAIL")</f>
        <v>PASS</v>
      </c>
    </row>
    <row r="233" customFormat="false" ht="15" hidden="false" customHeight="false" outlineLevel="0" collapsed="false">
      <c r="B233" s="61" t="n">
        <v>225</v>
      </c>
      <c r="C233" s="9" t="s">
        <v>725</v>
      </c>
      <c r="D233" s="9" t="s">
        <v>950</v>
      </c>
      <c r="E233" s="24" t="n">
        <v>3.96</v>
      </c>
      <c r="F233" s="55" t="n">
        <f aca="false">Model!$F$48</f>
        <v>3.95525179856115</v>
      </c>
      <c r="G233" s="31" t="n">
        <f aca="false">IFERROR(F233-E233,"n/a")</f>
        <v>-0.00474820143884847</v>
      </c>
      <c r="H233" s="42" t="n">
        <v>0.005000001</v>
      </c>
      <c r="I233" s="60" t="str">
        <f aca="false">IFERROR(IF(ABS(F233-E233)&lt;=H233,"PASS","FAIL"),"FAIL")</f>
        <v>PASS</v>
      </c>
    </row>
    <row r="234" customFormat="false" ht="15" hidden="false" customHeight="false" outlineLevel="0" collapsed="false">
      <c r="B234" s="61" t="n">
        <v>226</v>
      </c>
      <c r="C234" s="9" t="s">
        <v>725</v>
      </c>
      <c r="D234" s="9" t="s">
        <v>951</v>
      </c>
      <c r="E234" s="24" t="n">
        <v>4.4</v>
      </c>
      <c r="F234" s="55" t="n">
        <f aca="false">Model!$G$48</f>
        <v>4.398415616</v>
      </c>
      <c r="G234" s="31" t="n">
        <f aca="false">IFERROR(F234-E234,"n/a")</f>
        <v>-0.00158438399999916</v>
      </c>
      <c r="H234" s="42" t="n">
        <v>0.005000001</v>
      </c>
      <c r="I234" s="60" t="str">
        <f aca="false">IFERROR(IF(ABS(F234-E234)&lt;=H234,"PASS","FAIL"),"FAIL")</f>
        <v>PASS</v>
      </c>
    </row>
    <row r="235" customFormat="false" ht="15" hidden="false" customHeight="false" outlineLevel="0" collapsed="false">
      <c r="B235" s="61" t="n">
        <v>227</v>
      </c>
      <c r="C235" s="9" t="s">
        <v>725</v>
      </c>
      <c r="D235" s="9" t="s">
        <v>952</v>
      </c>
      <c r="E235" s="24" t="n">
        <v>5.06</v>
      </c>
      <c r="F235" s="55" t="n">
        <f aca="false">Model!$H$48</f>
        <v>5.05801284230324</v>
      </c>
      <c r="G235" s="31" t="n">
        <f aca="false">IFERROR(F235-E235,"n/a")</f>
        <v>-0.00198715769676472</v>
      </c>
      <c r="H235" s="42" t="n">
        <v>0.005000001</v>
      </c>
      <c r="I235" s="60" t="str">
        <f aca="false">IFERROR(IF(ABS(F235-E235)&lt;=H235,"PASS","FAIL"),"FAIL")</f>
        <v>PASS</v>
      </c>
    </row>
    <row r="236" customFormat="false" ht="15" hidden="false" customHeight="false" outlineLevel="0" collapsed="false">
      <c r="B236" s="61" t="n">
        <v>228</v>
      </c>
      <c r="C236" s="9" t="s">
        <v>725</v>
      </c>
      <c r="D236" s="9" t="s">
        <v>953</v>
      </c>
      <c r="E236" s="24" t="n">
        <v>5.76</v>
      </c>
      <c r="F236" s="55" t="n">
        <f aca="false">Model!$I$48</f>
        <v>5.76486099307068</v>
      </c>
      <c r="G236" s="31" t="n">
        <f aca="false">IFERROR(F236-E236,"n/a")</f>
        <v>0.00486099307067978</v>
      </c>
      <c r="H236" s="42" t="n">
        <v>0.005000001</v>
      </c>
      <c r="I236" s="60" t="str">
        <f aca="false">IFERROR(IF(ABS(F236-E236)&lt;=H236,"PASS","FAIL"),"FAIL")</f>
        <v>PASS</v>
      </c>
    </row>
    <row r="237" customFormat="false" ht="15" hidden="false" customHeight="false" outlineLevel="0" collapsed="false">
      <c r="B237" s="61" t="n">
        <v>229</v>
      </c>
      <c r="C237" s="9" t="s">
        <v>725</v>
      </c>
      <c r="D237" s="9" t="s">
        <v>954</v>
      </c>
      <c r="E237" s="11" t="n">
        <v>0.183</v>
      </c>
      <c r="F237" s="62" t="n">
        <f aca="false">Model!$E$49</f>
        <v>0.183342566521791</v>
      </c>
      <c r="G237" s="31" t="n">
        <f aca="false">IFERROR(F237-E237,"n/a")</f>
        <v>0.000342566521791377</v>
      </c>
      <c r="H237" s="42" t="n">
        <v>0.000500001</v>
      </c>
      <c r="I237" s="60" t="str">
        <f aca="false">IFERROR(IF(ABS(F237-E237)&lt;=H237,"PASS","FAIL"),"FAIL")</f>
        <v>PASS</v>
      </c>
    </row>
    <row r="238" customFormat="false" ht="15" hidden="false" customHeight="false" outlineLevel="0" collapsed="false">
      <c r="B238" s="61" t="n">
        <v>230</v>
      </c>
      <c r="C238" s="9" t="s">
        <v>725</v>
      </c>
      <c r="D238" s="9" t="s">
        <v>955</v>
      </c>
      <c r="E238" s="11" t="n">
        <v>0.153</v>
      </c>
      <c r="F238" s="62" t="n">
        <f aca="false">Model!$F$49</f>
        <v>0.153023875977264</v>
      </c>
      <c r="G238" s="31" t="n">
        <f aca="false">IFERROR(F238-E238,"n/a")</f>
        <v>2.38759772635266E-005</v>
      </c>
      <c r="H238" s="42" t="n">
        <v>0.000500001</v>
      </c>
      <c r="I238" s="60" t="str">
        <f aca="false">IFERROR(IF(ABS(F238-E238)&lt;=H238,"PASS","FAIL"),"FAIL")</f>
        <v>PASS</v>
      </c>
    </row>
    <row r="239" customFormat="false" ht="15" hidden="false" customHeight="false" outlineLevel="0" collapsed="false">
      <c r="B239" s="61" t="n">
        <v>231</v>
      </c>
      <c r="C239" s="9" t="s">
        <v>725</v>
      </c>
      <c r="D239" s="9" t="s">
        <v>956</v>
      </c>
      <c r="E239" s="11" t="n">
        <v>0.112</v>
      </c>
      <c r="F239" s="62" t="n">
        <f aca="false">Model!$G$49</f>
        <v>0.112044400713013</v>
      </c>
      <c r="G239" s="31" t="n">
        <f aca="false">IFERROR(F239-E239,"n/a")</f>
        <v>4.44007130125795E-005</v>
      </c>
      <c r="H239" s="42" t="n">
        <v>0.000500001</v>
      </c>
      <c r="I239" s="60" t="str">
        <f aca="false">IFERROR(IF(ABS(F239-E239)&lt;=H239,"PASS","FAIL"),"FAIL")</f>
        <v>PASS</v>
      </c>
    </row>
    <row r="240" customFormat="false" ht="15" hidden="false" customHeight="false" outlineLevel="0" collapsed="false">
      <c r="B240" s="61" t="n">
        <v>232</v>
      </c>
      <c r="C240" s="9" t="s">
        <v>725</v>
      </c>
      <c r="D240" s="9" t="s">
        <v>957</v>
      </c>
      <c r="E240" s="11" t="n">
        <v>0.15</v>
      </c>
      <c r="F240" s="62" t="n">
        <f aca="false">Model!$H$49</f>
        <v>0.14996246009673</v>
      </c>
      <c r="G240" s="31" t="n">
        <f aca="false">IFERROR(F240-E240,"n/a")</f>
        <v>-3.75399032700174E-005</v>
      </c>
      <c r="H240" s="42" t="n">
        <v>0.000500001</v>
      </c>
      <c r="I240" s="60" t="str">
        <f aca="false">IFERROR(IF(ABS(F240-E240)&lt;=H240,"PASS","FAIL"),"FAIL")</f>
        <v>PASS</v>
      </c>
    </row>
    <row r="241" customFormat="false" ht="15" hidden="false" customHeight="false" outlineLevel="0" collapsed="false">
      <c r="B241" s="61" t="n">
        <v>233</v>
      </c>
      <c r="C241" s="9" t="s">
        <v>725</v>
      </c>
      <c r="D241" s="9" t="s">
        <v>958</v>
      </c>
      <c r="E241" s="11" t="n">
        <v>0.14</v>
      </c>
      <c r="F241" s="62" t="n">
        <f aca="false">Model!$I$49</f>
        <v>0.139748192186395</v>
      </c>
      <c r="G241" s="31" t="n">
        <f aca="false">IFERROR(F241-E241,"n/a")</f>
        <v>-0.000251807813605454</v>
      </c>
      <c r="H241" s="42" t="n">
        <v>0.000500001</v>
      </c>
      <c r="I241" s="60" t="str">
        <f aca="false">IFERROR(IF(ABS(F241-E241)&lt;=H241,"PASS","FAIL"),"FAIL")</f>
        <v>PASS</v>
      </c>
    </row>
    <row r="242" customFormat="false" ht="15" hidden="false" customHeight="false" outlineLevel="0" collapsed="false">
      <c r="B242" s="61" t="n">
        <v>234</v>
      </c>
      <c r="C242" s="9" t="s">
        <v>725</v>
      </c>
      <c r="D242" s="9" t="s">
        <v>959</v>
      </c>
      <c r="E242" s="12" t="n">
        <v>62.4</v>
      </c>
      <c r="F242" s="56" t="n">
        <f aca="false">Model!$D$52</f>
        <v>62.4</v>
      </c>
      <c r="G242" s="31" t="n">
        <f aca="false">IFERROR(F242-E242,"n/a")</f>
        <v>0</v>
      </c>
      <c r="H242" s="42" t="n">
        <v>0.050000001</v>
      </c>
      <c r="I242" s="60" t="str">
        <f aca="false">IFERROR(IF(ABS(F242-E242)&lt;=H242,"PASS","FAIL"),"FAIL")</f>
        <v>PASS</v>
      </c>
    </row>
    <row r="243" customFormat="false" ht="15" hidden="false" customHeight="false" outlineLevel="0" collapsed="false">
      <c r="B243" s="61" t="n">
        <v>235</v>
      </c>
      <c r="C243" s="9" t="s">
        <v>725</v>
      </c>
      <c r="D243" s="9" t="s">
        <v>960</v>
      </c>
      <c r="E243" s="12" t="n">
        <v>66.6</v>
      </c>
      <c r="F243" s="56" t="n">
        <f aca="false">Model!$E$52</f>
        <v>66.56</v>
      </c>
      <c r="G243" s="31" t="n">
        <f aca="false">IFERROR(F243-E243,"n/a")</f>
        <v>-0.039999999999992</v>
      </c>
      <c r="H243" s="42" t="n">
        <v>0.050000001</v>
      </c>
      <c r="I243" s="60" t="str">
        <f aca="false">IFERROR(IF(ABS(F243-E243)&lt;=H243,"PASS","FAIL"),"FAIL")</f>
        <v>PASS</v>
      </c>
    </row>
    <row r="244" customFormat="false" ht="15" hidden="false" customHeight="false" outlineLevel="0" collapsed="false">
      <c r="B244" s="61" t="n">
        <v>236</v>
      </c>
      <c r="C244" s="9" t="s">
        <v>725</v>
      </c>
      <c r="D244" s="9" t="s">
        <v>961</v>
      </c>
      <c r="E244" s="12" t="n">
        <v>70.4</v>
      </c>
      <c r="F244" s="56" t="n">
        <f aca="false">Model!$F$52</f>
        <v>70.4</v>
      </c>
      <c r="G244" s="31" t="n">
        <f aca="false">IFERROR(F244-E244,"n/a")</f>
        <v>0</v>
      </c>
      <c r="H244" s="42" t="n">
        <v>0.050000001</v>
      </c>
      <c r="I244" s="60" t="str">
        <f aca="false">IFERROR(IF(ABS(F244-E244)&lt;=H244,"PASS","FAIL"),"FAIL")</f>
        <v>PASS</v>
      </c>
    </row>
    <row r="245" customFormat="false" ht="15" hidden="false" customHeight="false" outlineLevel="0" collapsed="false">
      <c r="B245" s="61" t="n">
        <v>237</v>
      </c>
      <c r="C245" s="9" t="s">
        <v>725</v>
      </c>
      <c r="D245" s="9" t="s">
        <v>962</v>
      </c>
      <c r="E245" s="12" t="n">
        <v>74.4</v>
      </c>
      <c r="F245" s="56" t="n">
        <f aca="false">Model!$G$52</f>
        <v>74.437376</v>
      </c>
      <c r="G245" s="31" t="n">
        <f aca="false">IFERROR(F245-E245,"n/a")</f>
        <v>0.0373759999999948</v>
      </c>
      <c r="H245" s="42" t="n">
        <v>0.050000001</v>
      </c>
      <c r="I245" s="60" t="str">
        <f aca="false">IFERROR(IF(ABS(F245-E245)&lt;=H245,"PASS","FAIL"),"FAIL")</f>
        <v>PASS</v>
      </c>
    </row>
    <row r="246" customFormat="false" ht="15" hidden="false" customHeight="false" outlineLevel="0" collapsed="false">
      <c r="B246" s="61" t="n">
        <v>238</v>
      </c>
      <c r="C246" s="9" t="s">
        <v>725</v>
      </c>
      <c r="D246" s="9" t="s">
        <v>963</v>
      </c>
      <c r="E246" s="12" t="n">
        <v>79.1</v>
      </c>
      <c r="F246" s="56" t="n">
        <f aca="false">Model!$H$52</f>
        <v>79.1266958336</v>
      </c>
      <c r="G246" s="31" t="n">
        <f aca="false">IFERROR(F246-E246,"n/a")</f>
        <v>0.0266958336000158</v>
      </c>
      <c r="H246" s="42" t="n">
        <v>0.050000001</v>
      </c>
      <c r="I246" s="60" t="str">
        <f aca="false">IFERROR(IF(ABS(F246-E246)&lt;=H246,"PASS","FAIL"),"FAIL")</f>
        <v>PASS</v>
      </c>
    </row>
    <row r="247" customFormat="false" ht="15" hidden="false" customHeight="false" outlineLevel="0" collapsed="false">
      <c r="B247" s="61" t="n">
        <v>239</v>
      </c>
      <c r="C247" s="9" t="s">
        <v>725</v>
      </c>
      <c r="D247" s="9" t="s">
        <v>964</v>
      </c>
      <c r="E247" s="12" t="n">
        <v>84.1</v>
      </c>
      <c r="F247" s="56" t="n">
        <f aca="false">Model!$I$52</f>
        <v>84.094945033065</v>
      </c>
      <c r="G247" s="31" t="n">
        <f aca="false">IFERROR(F247-E247,"n/a")</f>
        <v>-0.0050549669350346</v>
      </c>
      <c r="H247" s="42" t="n">
        <v>0.050000001</v>
      </c>
      <c r="I247" s="60" t="str">
        <f aca="false">IFERROR(IF(ABS(F247-E247)&lt;=H247,"PASS","FAIL"),"FAIL")</f>
        <v>PASS</v>
      </c>
    </row>
    <row r="248" customFormat="false" ht="15" hidden="false" customHeight="false" outlineLevel="0" collapsed="false">
      <c r="B248" s="61" t="n">
        <v>240</v>
      </c>
      <c r="C248" s="9" t="s">
        <v>725</v>
      </c>
      <c r="D248" s="9" t="s">
        <v>965</v>
      </c>
      <c r="E248" s="12" t="n">
        <v>24.3</v>
      </c>
      <c r="F248" s="56" t="n">
        <f aca="false">Model!$D$53</f>
        <v>24.3</v>
      </c>
      <c r="G248" s="31" t="n">
        <f aca="false">IFERROR(F248-E248,"n/a")</f>
        <v>0</v>
      </c>
      <c r="H248" s="42" t="n">
        <v>0.050000001</v>
      </c>
      <c r="I248" s="60" t="str">
        <f aca="false">IFERROR(IF(ABS(F248-E248)&lt;=H248,"PASS","FAIL"),"FAIL")</f>
        <v>PASS</v>
      </c>
    </row>
    <row r="249" customFormat="false" ht="15" hidden="false" customHeight="false" outlineLevel="0" collapsed="false">
      <c r="B249" s="61" t="n">
        <v>241</v>
      </c>
      <c r="C249" s="9" t="s">
        <v>725</v>
      </c>
      <c r="D249" s="9" t="s">
        <v>966</v>
      </c>
      <c r="E249" s="12" t="n">
        <v>23.4</v>
      </c>
      <c r="F249" s="56" t="n">
        <f aca="false">Model!$E$53</f>
        <v>23.4</v>
      </c>
      <c r="G249" s="31" t="n">
        <f aca="false">IFERROR(F249-E249,"n/a")</f>
        <v>0</v>
      </c>
      <c r="H249" s="42" t="n">
        <v>0.050000001</v>
      </c>
      <c r="I249" s="60" t="str">
        <f aca="false">IFERROR(IF(ABS(F249-E249)&lt;=H249,"PASS","FAIL"),"FAIL")</f>
        <v>PASS</v>
      </c>
    </row>
    <row r="250" customFormat="false" ht="15" hidden="false" customHeight="false" outlineLevel="0" collapsed="false">
      <c r="B250" s="61" t="n">
        <v>242</v>
      </c>
      <c r="C250" s="9" t="s">
        <v>725</v>
      </c>
      <c r="D250" s="9" t="s">
        <v>967</v>
      </c>
      <c r="E250" s="12" t="n">
        <v>21.6</v>
      </c>
      <c r="F250" s="56" t="n">
        <f aca="false">Model!$F$53</f>
        <v>21.6</v>
      </c>
      <c r="G250" s="31" t="n">
        <f aca="false">IFERROR(F250-E250,"n/a")</f>
        <v>0</v>
      </c>
      <c r="H250" s="42" t="n">
        <v>0.050000001</v>
      </c>
      <c r="I250" s="60" t="str">
        <f aca="false">IFERROR(IF(ABS(F250-E250)&lt;=H250,"PASS","FAIL"),"FAIL")</f>
        <v>PASS</v>
      </c>
    </row>
    <row r="251" customFormat="false" ht="15" hidden="false" customHeight="false" outlineLevel="0" collapsed="false">
      <c r="B251" s="61" t="n">
        <v>243</v>
      </c>
      <c r="C251" s="9" t="s">
        <v>725</v>
      </c>
      <c r="D251" s="9" t="s">
        <v>968</v>
      </c>
      <c r="E251" s="12" t="n">
        <v>22.7</v>
      </c>
      <c r="F251" s="56" t="n">
        <f aca="false">Model!$G$53</f>
        <v>22.71024</v>
      </c>
      <c r="G251" s="31" t="n">
        <f aca="false">IFERROR(F251-E251,"n/a")</f>
        <v>0.0102400000000209</v>
      </c>
      <c r="H251" s="42" t="n">
        <v>0.050000001</v>
      </c>
      <c r="I251" s="60" t="str">
        <f aca="false">IFERROR(IF(ABS(F251-E251)&lt;=H251,"PASS","FAIL"),"FAIL")</f>
        <v>PASS</v>
      </c>
    </row>
    <row r="252" customFormat="false" ht="15" hidden="false" customHeight="false" outlineLevel="0" collapsed="false">
      <c r="B252" s="61" t="n">
        <v>244</v>
      </c>
      <c r="C252" s="9" t="s">
        <v>725</v>
      </c>
      <c r="D252" s="9" t="s">
        <v>969</v>
      </c>
      <c r="E252" s="12" t="n">
        <v>26.4</v>
      </c>
      <c r="F252" s="56" t="n">
        <f aca="false">Model!$H$53</f>
        <v>26.377424064</v>
      </c>
      <c r="G252" s="31" t="n">
        <f aca="false">IFERROR(F252-E252,"n/a")</f>
        <v>-0.0225759359999671</v>
      </c>
      <c r="H252" s="42" t="n">
        <v>0.050000001</v>
      </c>
      <c r="I252" s="60" t="str">
        <f aca="false">IFERROR(IF(ABS(F252-E252)&lt;=H252,"PASS","FAIL"),"FAIL")</f>
        <v>PASS</v>
      </c>
    </row>
    <row r="253" customFormat="false" ht="15" hidden="false" customHeight="false" outlineLevel="0" collapsed="false">
      <c r="B253" s="61" t="n">
        <v>245</v>
      </c>
      <c r="C253" s="9" t="s">
        <v>725</v>
      </c>
      <c r="D253" s="9" t="s">
        <v>970</v>
      </c>
      <c r="E253" s="12" t="n">
        <v>27.9</v>
      </c>
      <c r="F253" s="56" t="n">
        <f aca="false">Model!$I$53</f>
        <v>27.9464017469903</v>
      </c>
      <c r="G253" s="31" t="n">
        <f aca="false">IFERROR(F253-E253,"n/a")</f>
        <v>0.0464017469903233</v>
      </c>
      <c r="H253" s="42" t="n">
        <v>0.050000001</v>
      </c>
      <c r="I253" s="60" t="str">
        <f aca="false">IFERROR(IF(ABS(F253-E253)&lt;=H253,"PASS","FAIL"),"FAIL")</f>
        <v>PASS</v>
      </c>
    </row>
    <row r="254" customFormat="false" ht="15" hidden="false" customHeight="false" outlineLevel="0" collapsed="false">
      <c r="B254" s="61" t="n">
        <v>246</v>
      </c>
      <c r="C254" s="9" t="s">
        <v>725</v>
      </c>
      <c r="D254" s="9" t="s">
        <v>971</v>
      </c>
      <c r="E254" s="12" t="n">
        <v>141.9</v>
      </c>
      <c r="F254" s="56" t="n">
        <f aca="false">Model!$D$54</f>
        <v>141.8743</v>
      </c>
      <c r="G254" s="31" t="n">
        <f aca="false">IFERROR(F254-E254,"n/a")</f>
        <v>-0.0257000000000005</v>
      </c>
      <c r="H254" s="42" t="n">
        <v>0.050000001</v>
      </c>
      <c r="I254" s="60" t="str">
        <f aca="false">IFERROR(IF(ABS(F254-E254)&lt;=H254,"PASS","FAIL"),"FAIL")</f>
        <v>PASS</v>
      </c>
    </row>
    <row r="255" customFormat="false" ht="15" hidden="false" customHeight="false" outlineLevel="0" collapsed="false">
      <c r="B255" s="61" t="n">
        <v>247</v>
      </c>
      <c r="C255" s="9" t="s">
        <v>725</v>
      </c>
      <c r="D255" s="9" t="s">
        <v>972</v>
      </c>
      <c r="E255" s="12" t="n">
        <v>158.6</v>
      </c>
      <c r="F255" s="56" t="n">
        <f aca="false">Model!$E$54</f>
        <v>158.59755</v>
      </c>
      <c r="G255" s="31" t="n">
        <f aca="false">IFERROR(F255-E255,"n/a")</f>
        <v>-0.00244999999995343</v>
      </c>
      <c r="H255" s="42" t="n">
        <v>0.050000001</v>
      </c>
      <c r="I255" s="60" t="str">
        <f aca="false">IFERROR(IF(ABS(F255-E255)&lt;=H255,"PASS","FAIL"),"FAIL")</f>
        <v>PASS</v>
      </c>
    </row>
    <row r="256" customFormat="false" ht="15" hidden="false" customHeight="false" outlineLevel="0" collapsed="false">
      <c r="B256" s="61" t="n">
        <v>248</v>
      </c>
      <c r="C256" s="9" t="s">
        <v>725</v>
      </c>
      <c r="D256" s="9" t="s">
        <v>973</v>
      </c>
      <c r="E256" s="12" t="n">
        <v>181.3</v>
      </c>
      <c r="F256" s="56" t="n">
        <f aca="false">Model!$F$54</f>
        <v>181.312</v>
      </c>
      <c r="G256" s="31" t="n">
        <f aca="false">IFERROR(F256-E256,"n/a")</f>
        <v>0.0120000000000005</v>
      </c>
      <c r="H256" s="42" t="n">
        <v>0.050000001</v>
      </c>
      <c r="I256" s="60" t="str">
        <f aca="false">IFERROR(IF(ABS(F256-E256)&lt;=H256,"PASS","FAIL"),"FAIL")</f>
        <v>PASS</v>
      </c>
    </row>
    <row r="257" customFormat="false" ht="15" hidden="false" customHeight="false" outlineLevel="0" collapsed="false">
      <c r="B257" s="61" t="n">
        <v>249</v>
      </c>
      <c r="C257" s="9" t="s">
        <v>725</v>
      </c>
      <c r="D257" s="9" t="s">
        <v>974</v>
      </c>
      <c r="E257" s="12" t="n">
        <v>209.4</v>
      </c>
      <c r="F257" s="56" t="n">
        <f aca="false">Model!$G$54</f>
        <v>209.39794688</v>
      </c>
      <c r="G257" s="31" t="n">
        <f aca="false">IFERROR(F257-E257,"n/a")</f>
        <v>-0.00205311999999935</v>
      </c>
      <c r="H257" s="42" t="n">
        <v>0.050000001</v>
      </c>
      <c r="I257" s="60" t="str">
        <f aca="false">IFERROR(IF(ABS(F257-E257)&lt;=H257,"PASS","FAIL"),"FAIL")</f>
        <v>PASS</v>
      </c>
    </row>
    <row r="258" customFormat="false" ht="15" hidden="false" customHeight="false" outlineLevel="0" collapsed="false">
      <c r="B258" s="61" t="n">
        <v>250</v>
      </c>
      <c r="C258" s="9" t="s">
        <v>725</v>
      </c>
      <c r="D258" s="9" t="s">
        <v>975</v>
      </c>
      <c r="E258" s="12" t="n">
        <v>247.2</v>
      </c>
      <c r="F258" s="56" t="n">
        <f aca="false">Model!$H$54</f>
        <v>247.167637578096</v>
      </c>
      <c r="G258" s="31" t="n">
        <f aca="false">IFERROR(F258-E258,"n/a")</f>
        <v>-0.0323624219040539</v>
      </c>
      <c r="H258" s="42" t="n">
        <v>0.050000001</v>
      </c>
      <c r="I258" s="60" t="str">
        <f aca="false">IFERROR(IF(ABS(F258-E258)&lt;=H258,"PASS","FAIL"),"FAIL")</f>
        <v>PASS</v>
      </c>
    </row>
    <row r="259" customFormat="false" ht="15" hidden="false" customHeight="false" outlineLevel="0" collapsed="false">
      <c r="B259" s="61" t="n">
        <v>251</v>
      </c>
      <c r="C259" s="9" t="s">
        <v>725</v>
      </c>
      <c r="D259" s="9" t="s">
        <v>976</v>
      </c>
      <c r="E259" s="12" t="n">
        <v>279.5</v>
      </c>
      <c r="F259" s="56" t="n">
        <f aca="false">Model!$I$54</f>
        <v>279.511251551079</v>
      </c>
      <c r="G259" s="31" t="n">
        <f aca="false">IFERROR(F259-E259,"n/a")</f>
        <v>0.0112515510791127</v>
      </c>
      <c r="H259" s="42" t="n">
        <v>0.050000001</v>
      </c>
      <c r="I259" s="60" t="str">
        <f aca="false">IFERROR(IF(ABS(F259-E259)&lt;=H259,"PASS","FAIL"),"FAIL")</f>
        <v>PASS</v>
      </c>
    </row>
    <row r="260" customFormat="false" ht="15" hidden="false" customHeight="false" outlineLevel="0" collapsed="false">
      <c r="B260" s="61" t="n">
        <v>252</v>
      </c>
      <c r="C260" s="9" t="s">
        <v>725</v>
      </c>
      <c r="D260" s="9" t="s">
        <v>977</v>
      </c>
      <c r="E260" s="22" t="n">
        <v>0.86</v>
      </c>
      <c r="F260" s="38" t="n">
        <f aca="false">Model!$D$55</f>
        <v>0.85862499493144</v>
      </c>
      <c r="G260" s="31" t="n">
        <f aca="false">IFERROR(F260-E260,"n/a")</f>
        <v>-0.00137500506856025</v>
      </c>
      <c r="H260" s="42" t="n">
        <v>0.005000001</v>
      </c>
      <c r="I260" s="60" t="str">
        <f aca="false">IFERROR(IF(ABS(F260-E260)&lt;=H260,"PASS","FAIL"),"FAIL")</f>
        <v>PASS</v>
      </c>
    </row>
    <row r="261" customFormat="false" ht="15" hidden="false" customHeight="false" outlineLevel="0" collapsed="false">
      <c r="B261" s="61" t="n">
        <v>253</v>
      </c>
      <c r="C261" s="9" t="s">
        <v>725</v>
      </c>
      <c r="D261" s="9" t="s">
        <v>978</v>
      </c>
      <c r="E261" s="22" t="n">
        <v>0.82</v>
      </c>
      <c r="F261" s="38" t="n">
        <f aca="false">Model!$E$55</f>
        <v>0.821206244267066</v>
      </c>
      <c r="G261" s="31" t="n">
        <f aca="false">IFERROR(F261-E261,"n/a")</f>
        <v>0.00120624426706606</v>
      </c>
      <c r="H261" s="42" t="n">
        <v>0.005000001</v>
      </c>
      <c r="I261" s="60" t="str">
        <f aca="false">IFERROR(IF(ABS(F261-E261)&lt;=H261,"PASS","FAIL"),"FAIL")</f>
        <v>PASS</v>
      </c>
    </row>
    <row r="262" customFormat="false" ht="15" hidden="false" customHeight="false" outlineLevel="0" collapsed="false">
      <c r="B262" s="61" t="n">
        <v>254</v>
      </c>
      <c r="C262" s="9" t="s">
        <v>725</v>
      </c>
      <c r="D262" s="9" t="s">
        <v>979</v>
      </c>
      <c r="E262" s="22" t="n">
        <v>0.82</v>
      </c>
      <c r="F262" s="38" t="n">
        <f aca="false">Model!$F$55</f>
        <v>0.824475244643312</v>
      </c>
      <c r="G262" s="31" t="n">
        <f aca="false">IFERROR(F262-E262,"n/a")</f>
        <v>0.00447524464331184</v>
      </c>
      <c r="H262" s="42" t="n">
        <v>0.005000001</v>
      </c>
      <c r="I262" s="60" t="str">
        <f aca="false">IFERROR(IF(ABS(F262-E262)&lt;=H262,"PASS","FAIL"),"FAIL")</f>
        <v>PASS</v>
      </c>
    </row>
    <row r="263" customFormat="false" ht="15" hidden="false" customHeight="false" outlineLevel="0" collapsed="false">
      <c r="B263" s="61" t="n">
        <v>255</v>
      </c>
      <c r="C263" s="9" t="s">
        <v>725</v>
      </c>
      <c r="D263" s="9" t="s">
        <v>980</v>
      </c>
      <c r="E263" s="22" t="n">
        <v>0.87</v>
      </c>
      <c r="F263" s="38" t="n">
        <f aca="false">Model!$G$55</f>
        <v>0.865592461060001</v>
      </c>
      <c r="G263" s="31" t="n">
        <f aca="false">IFERROR(F263-E263,"n/a")</f>
        <v>-0.00440753893999879</v>
      </c>
      <c r="H263" s="42" t="n">
        <v>0.005000001</v>
      </c>
      <c r="I263" s="60" t="str">
        <f aca="false">IFERROR(IF(ABS(F263-E263)&lt;=H263,"PASS","FAIL"),"FAIL")</f>
        <v>PASS</v>
      </c>
    </row>
    <row r="264" customFormat="false" ht="15" hidden="false" customHeight="false" outlineLevel="0" collapsed="false">
      <c r="B264" s="61" t="n">
        <v>256</v>
      </c>
      <c r="C264" s="9" t="s">
        <v>725</v>
      </c>
      <c r="D264" s="9" t="s">
        <v>981</v>
      </c>
      <c r="E264" s="22" t="n">
        <v>0.9</v>
      </c>
      <c r="F264" s="38" t="n">
        <f aca="false">Model!$H$55</f>
        <v>0.898282169550285</v>
      </c>
      <c r="G264" s="31" t="n">
        <f aca="false">IFERROR(F264-E264,"n/a")</f>
        <v>-0.00171783044971541</v>
      </c>
      <c r="H264" s="42" t="n">
        <v>0.005000001</v>
      </c>
      <c r="I264" s="60" t="str">
        <f aca="false">IFERROR(IF(ABS(F264-E264)&lt;=H264,"PASS","FAIL"),"FAIL")</f>
        <v>PASS</v>
      </c>
    </row>
    <row r="265" customFormat="false" ht="15" hidden="false" customHeight="false" outlineLevel="0" collapsed="false">
      <c r="B265" s="61" t="n">
        <v>257</v>
      </c>
      <c r="C265" s="9" t="s">
        <v>725</v>
      </c>
      <c r="D265" s="9" t="s">
        <v>982</v>
      </c>
      <c r="E265" s="22" t="n">
        <v>0.9</v>
      </c>
      <c r="F265" s="38" t="n">
        <f aca="false">Model!$I$55</f>
        <v>0.901214518290609</v>
      </c>
      <c r="G265" s="31" t="n">
        <f aca="false">IFERROR(F265-E265,"n/a")</f>
        <v>0.00121451829060848</v>
      </c>
      <c r="H265" s="42" t="n">
        <v>0.005000001</v>
      </c>
      <c r="I265" s="60" t="str">
        <f aca="false">IFERROR(IF(ABS(F265-E265)&lt;=H265,"PASS","FAIL"),"FAIL")</f>
        <v>PASS</v>
      </c>
    </row>
    <row r="266" customFormat="false" ht="15" hidden="false" customHeight="false" outlineLevel="0" collapsed="false">
      <c r="B266" s="61" t="n">
        <v>258</v>
      </c>
      <c r="C266" s="9" t="s">
        <v>725</v>
      </c>
      <c r="D266" s="9" t="s">
        <v>983</v>
      </c>
      <c r="E266" s="24" t="n">
        <v>2.49</v>
      </c>
      <c r="F266" s="55" t="n">
        <f aca="false">Model!$D$56</f>
        <v>2.48902280701754</v>
      </c>
      <c r="G266" s="31" t="n">
        <f aca="false">IFERROR(F266-E266,"n/a")</f>
        <v>-0.000977192982456465</v>
      </c>
      <c r="H266" s="42" t="n">
        <v>0.005000001</v>
      </c>
      <c r="I266" s="60" t="str">
        <f aca="false">IFERROR(IF(ABS(F266-E266)&lt;=H266,"PASS","FAIL"),"FAIL")</f>
        <v>PASS</v>
      </c>
    </row>
    <row r="267" customFormat="false" ht="15" hidden="false" customHeight="false" outlineLevel="0" collapsed="false">
      <c r="B267" s="61" t="n">
        <v>259</v>
      </c>
      <c r="C267" s="9" t="s">
        <v>725</v>
      </c>
      <c r="D267" s="9" t="s">
        <v>984</v>
      </c>
      <c r="E267" s="24" t="n">
        <v>2.82</v>
      </c>
      <c r="F267" s="55" t="n">
        <f aca="false">Model!$E$56</f>
        <v>2.81700799289521</v>
      </c>
      <c r="G267" s="31" t="n">
        <f aca="false">IFERROR(F267-E267,"n/a")</f>
        <v>-0.00299200710479486</v>
      </c>
      <c r="H267" s="42" t="n">
        <v>0.005000001</v>
      </c>
      <c r="I267" s="60" t="str">
        <f aca="false">IFERROR(IF(ABS(F267-E267)&lt;=H267,"PASS","FAIL"),"FAIL")</f>
        <v>PASS</v>
      </c>
    </row>
    <row r="268" customFormat="false" ht="15" hidden="false" customHeight="false" outlineLevel="0" collapsed="false">
      <c r="B268" s="61" t="n">
        <v>260</v>
      </c>
      <c r="C268" s="9" t="s">
        <v>725</v>
      </c>
      <c r="D268" s="9" t="s">
        <v>985</v>
      </c>
      <c r="E268" s="24" t="n">
        <v>3.26</v>
      </c>
      <c r="F268" s="55" t="n">
        <f aca="false">Model!$F$56</f>
        <v>3.2610071942446</v>
      </c>
      <c r="G268" s="31" t="n">
        <f aca="false">IFERROR(F268-E268,"n/a")</f>
        <v>0.00100719424460483</v>
      </c>
      <c r="H268" s="42" t="n">
        <v>0.005000001</v>
      </c>
      <c r="I268" s="60" t="str">
        <f aca="false">IFERROR(IF(ABS(F268-E268)&lt;=H268,"PASS","FAIL"),"FAIL")</f>
        <v>PASS</v>
      </c>
    </row>
    <row r="269" customFormat="false" ht="15" hidden="false" customHeight="false" outlineLevel="0" collapsed="false">
      <c r="B269" s="61" t="n">
        <v>261</v>
      </c>
      <c r="C269" s="9" t="s">
        <v>725</v>
      </c>
      <c r="D269" s="9" t="s">
        <v>986</v>
      </c>
      <c r="E269" s="24" t="n">
        <v>3.81</v>
      </c>
      <c r="F269" s="55" t="n">
        <f aca="false">Model!$G$56</f>
        <v>3.80723539781818</v>
      </c>
      <c r="G269" s="31" t="n">
        <f aca="false">IFERROR(F269-E269,"n/a")</f>
        <v>-0.00276460218181818</v>
      </c>
      <c r="H269" s="42" t="n">
        <v>0.005000001</v>
      </c>
      <c r="I269" s="60" t="str">
        <f aca="false">IFERROR(IF(ABS(F269-E269)&lt;=H269,"PASS","FAIL"),"FAIL")</f>
        <v>PASS</v>
      </c>
    </row>
    <row r="270" customFormat="false" ht="15" hidden="false" customHeight="false" outlineLevel="0" collapsed="false">
      <c r="B270" s="61" t="n">
        <v>262</v>
      </c>
      <c r="C270" s="9" t="s">
        <v>725</v>
      </c>
      <c r="D270" s="9" t="s">
        <v>987</v>
      </c>
      <c r="E270" s="24" t="n">
        <v>4.54</v>
      </c>
      <c r="F270" s="55" t="n">
        <f aca="false">Model!$H$56</f>
        <v>4.54352274959735</v>
      </c>
      <c r="G270" s="31" t="n">
        <f aca="false">IFERROR(F270-E270,"n/a")</f>
        <v>0.00352274959735155</v>
      </c>
      <c r="H270" s="42" t="n">
        <v>0.005000001</v>
      </c>
      <c r="I270" s="60" t="str">
        <f aca="false">IFERROR(IF(ABS(F270-E270)&lt;=H270,"PASS","FAIL"),"FAIL")</f>
        <v>PASS</v>
      </c>
    </row>
    <row r="271" customFormat="false" ht="15" hidden="false" customHeight="false" outlineLevel="0" collapsed="false">
      <c r="B271" s="61" t="n">
        <v>263</v>
      </c>
      <c r="C271" s="9" t="s">
        <v>725</v>
      </c>
      <c r="D271" s="9" t="s">
        <v>988</v>
      </c>
      <c r="E271" s="24" t="n">
        <v>5.2</v>
      </c>
      <c r="F271" s="55" t="n">
        <f aca="false">Model!$I$56</f>
        <v>5.19537642288251</v>
      </c>
      <c r="G271" s="31" t="n">
        <f aca="false">IFERROR(F271-E271,"n/a")</f>
        <v>-0.00462357711748851</v>
      </c>
      <c r="H271" s="42" t="n">
        <v>0.005000001</v>
      </c>
      <c r="I271" s="60" t="str">
        <f aca="false">IFERROR(IF(ABS(F271-E271)&lt;=H271,"PASS","FAIL"),"FAIL")</f>
        <v>PASS</v>
      </c>
    </row>
    <row r="272" customFormat="false" ht="15" hidden="false" customHeight="false" outlineLevel="0" collapsed="false">
      <c r="B272" s="61" t="n">
        <v>264</v>
      </c>
      <c r="C272" s="9" t="s">
        <v>725</v>
      </c>
      <c r="D272" s="9" t="s">
        <v>989</v>
      </c>
      <c r="E272" s="24" t="n">
        <v>0.9</v>
      </c>
      <c r="F272" s="55" t="n">
        <f aca="false">Model!$D$57</f>
        <v>0.9</v>
      </c>
      <c r="G272" s="31" t="n">
        <f aca="false">IFERROR(F272-E272,"n/a")</f>
        <v>0</v>
      </c>
      <c r="H272" s="42" t="n">
        <v>0.005000001</v>
      </c>
      <c r="I272" s="60" t="str">
        <f aca="false">IFERROR(IF(ABS(F272-E272)&lt;=H272,"PASS","FAIL"),"FAIL")</f>
        <v>PASS</v>
      </c>
    </row>
    <row r="273" customFormat="false" ht="15" hidden="false" customHeight="false" outlineLevel="0" collapsed="false">
      <c r="B273" s="61" t="n">
        <v>265</v>
      </c>
      <c r="C273" s="9" t="s">
        <v>725</v>
      </c>
      <c r="D273" s="9" t="s">
        <v>990</v>
      </c>
      <c r="E273" s="24" t="n">
        <v>0.96</v>
      </c>
      <c r="F273" s="55" t="n">
        <f aca="false">Model!$E$57</f>
        <v>0.96</v>
      </c>
      <c r="G273" s="31" t="n">
        <f aca="false">IFERROR(F273-E273,"n/a")</f>
        <v>0</v>
      </c>
      <c r="H273" s="42" t="n">
        <v>0.005000001</v>
      </c>
      <c r="I273" s="60" t="str">
        <f aca="false">IFERROR(IF(ABS(F273-E273)&lt;=H273,"PASS","FAIL"),"FAIL")</f>
        <v>PASS</v>
      </c>
    </row>
    <row r="274" customFormat="false" ht="15" hidden="false" customHeight="false" outlineLevel="0" collapsed="false">
      <c r="B274" s="61" t="n">
        <v>266</v>
      </c>
      <c r="C274" s="9" t="s">
        <v>725</v>
      </c>
      <c r="D274" s="9" t="s">
        <v>991</v>
      </c>
      <c r="E274" s="24" t="n">
        <v>1.02</v>
      </c>
      <c r="F274" s="55" t="n">
        <f aca="false">Model!$F$57</f>
        <v>1.02</v>
      </c>
      <c r="G274" s="31" t="n">
        <f aca="false">IFERROR(F274-E274,"n/a")</f>
        <v>0</v>
      </c>
      <c r="H274" s="42" t="n">
        <v>0.005000001</v>
      </c>
      <c r="I274" s="60" t="str">
        <f aca="false">IFERROR(IF(ABS(F274-E274)&lt;=H274,"PASS","FAIL"),"FAIL")</f>
        <v>PASS</v>
      </c>
    </row>
    <row r="275" customFormat="false" ht="15" hidden="false" customHeight="false" outlineLevel="0" collapsed="false">
      <c r="B275" s="61" t="n">
        <v>267</v>
      </c>
      <c r="C275" s="9" t="s">
        <v>725</v>
      </c>
      <c r="D275" s="9" t="s">
        <v>992</v>
      </c>
      <c r="E275" s="24" t="n">
        <v>1.1</v>
      </c>
      <c r="F275" s="55" t="n">
        <f aca="false">Model!$G$57</f>
        <v>1.1</v>
      </c>
      <c r="G275" s="31" t="n">
        <f aca="false">IFERROR(F275-E275,"n/a")</f>
        <v>0</v>
      </c>
      <c r="H275" s="42" t="n">
        <v>0.005000001</v>
      </c>
      <c r="I275" s="60" t="str">
        <f aca="false">IFERROR(IF(ABS(F275-E275)&lt;=H275,"PASS","FAIL"),"FAIL")</f>
        <v>PASS</v>
      </c>
    </row>
    <row r="276" customFormat="false" ht="15" hidden="false" customHeight="false" outlineLevel="0" collapsed="false">
      <c r="B276" s="61" t="n">
        <v>268</v>
      </c>
      <c r="C276" s="9" t="s">
        <v>725</v>
      </c>
      <c r="D276" s="9" t="s">
        <v>993</v>
      </c>
      <c r="E276" s="24" t="n">
        <v>1.2</v>
      </c>
      <c r="F276" s="55" t="n">
        <f aca="false">Model!$H$57</f>
        <v>1.2</v>
      </c>
      <c r="G276" s="31" t="n">
        <f aca="false">IFERROR(F276-E276,"n/a")</f>
        <v>0</v>
      </c>
      <c r="H276" s="42" t="n">
        <v>0.005000001</v>
      </c>
      <c r="I276" s="60" t="str">
        <f aca="false">IFERROR(IF(ABS(F276-E276)&lt;=H276,"PASS","FAIL"),"FAIL")</f>
        <v>PASS</v>
      </c>
    </row>
    <row r="277" customFormat="false" ht="15" hidden="false" customHeight="false" outlineLevel="0" collapsed="false">
      <c r="B277" s="61" t="n">
        <v>269</v>
      </c>
      <c r="C277" s="9" t="s">
        <v>725</v>
      </c>
      <c r="D277" s="9" t="s">
        <v>994</v>
      </c>
      <c r="E277" s="24" t="n">
        <v>1.3</v>
      </c>
      <c r="F277" s="55" t="n">
        <f aca="false">Model!$I$57</f>
        <v>1.3</v>
      </c>
      <c r="G277" s="31" t="n">
        <f aca="false">IFERROR(F277-E277,"n/a")</f>
        <v>0</v>
      </c>
      <c r="H277" s="42" t="n">
        <v>0.005000001</v>
      </c>
      <c r="I277" s="60" t="str">
        <f aca="false">IFERROR(IF(ABS(F277-E277)&lt;=H277,"PASS","FAIL"),"FAIL")</f>
        <v>PASS</v>
      </c>
    </row>
    <row r="278" customFormat="false" ht="15" hidden="false" customHeight="false" outlineLevel="0" collapsed="false">
      <c r="B278" s="61" t="n">
        <v>270</v>
      </c>
      <c r="C278" s="9" t="s">
        <v>725</v>
      </c>
      <c r="D278" s="9" t="s">
        <v>995</v>
      </c>
      <c r="E278" s="12" t="n">
        <v>51.3</v>
      </c>
      <c r="F278" s="56" t="n">
        <f aca="false">Model!$D$58</f>
        <v>51.3</v>
      </c>
      <c r="G278" s="31" t="n">
        <f aca="false">IFERROR(F278-E278,"n/a")</f>
        <v>0</v>
      </c>
      <c r="H278" s="42" t="n">
        <v>0.050000001</v>
      </c>
      <c r="I278" s="60" t="str">
        <f aca="false">IFERROR(IF(ABS(F278-E278)&lt;=H278,"PASS","FAIL"),"FAIL")</f>
        <v>PASS</v>
      </c>
    </row>
    <row r="279" customFormat="false" ht="15" hidden="false" customHeight="false" outlineLevel="0" collapsed="false">
      <c r="B279" s="61" t="n">
        <v>271</v>
      </c>
      <c r="C279" s="9" t="s">
        <v>725</v>
      </c>
      <c r="D279" s="9" t="s">
        <v>996</v>
      </c>
      <c r="E279" s="12" t="n">
        <v>54</v>
      </c>
      <c r="F279" s="56" t="n">
        <f aca="false">Model!$E$58</f>
        <v>54.048</v>
      </c>
      <c r="G279" s="31" t="n">
        <f aca="false">IFERROR(F279-E279,"n/a")</f>
        <v>0.0479999999999947</v>
      </c>
      <c r="H279" s="42" t="n">
        <v>0.050000001</v>
      </c>
      <c r="I279" s="60" t="str">
        <f aca="false">IFERROR(IF(ABS(F279-E279)&lt;=H279,"PASS","FAIL"),"FAIL")</f>
        <v>PASS</v>
      </c>
    </row>
    <row r="280" customFormat="false" ht="15" hidden="false" customHeight="false" outlineLevel="0" collapsed="false">
      <c r="B280" s="61" t="n">
        <v>272</v>
      </c>
      <c r="C280" s="9" t="s">
        <v>725</v>
      </c>
      <c r="D280" s="9" t="s">
        <v>997</v>
      </c>
      <c r="E280" s="12" t="n">
        <v>56.7</v>
      </c>
      <c r="F280" s="56" t="n">
        <f aca="false">Model!$F$58</f>
        <v>56.712</v>
      </c>
      <c r="G280" s="31" t="n">
        <f aca="false">IFERROR(F280-E280,"n/a")</f>
        <v>0.0120000000000005</v>
      </c>
      <c r="H280" s="42" t="n">
        <v>0.050000001</v>
      </c>
      <c r="I280" s="60" t="str">
        <f aca="false">IFERROR(IF(ABS(F280-E280)&lt;=H280,"PASS","FAIL"),"FAIL")</f>
        <v>PASS</v>
      </c>
    </row>
    <row r="281" customFormat="false" ht="15" hidden="false" customHeight="false" outlineLevel="0" collapsed="false">
      <c r="B281" s="61" t="n">
        <v>273</v>
      </c>
      <c r="C281" s="9" t="s">
        <v>725</v>
      </c>
      <c r="D281" s="9" t="s">
        <v>998</v>
      </c>
      <c r="E281" s="12" t="n">
        <v>60.5</v>
      </c>
      <c r="F281" s="56" t="n">
        <f aca="false">Model!$G$58</f>
        <v>60.5</v>
      </c>
      <c r="G281" s="31" t="n">
        <f aca="false">IFERROR(F281-E281,"n/a")</f>
        <v>0</v>
      </c>
      <c r="H281" s="42" t="n">
        <v>0.050000001</v>
      </c>
      <c r="I281" s="60" t="str">
        <f aca="false">IFERROR(IF(ABS(F281-E281)&lt;=H281,"PASS","FAIL"),"FAIL")</f>
        <v>PASS</v>
      </c>
    </row>
    <row r="282" customFormat="false" ht="15" hidden="false" customHeight="false" outlineLevel="0" collapsed="false">
      <c r="B282" s="61" t="n">
        <v>274</v>
      </c>
      <c r="C282" s="9" t="s">
        <v>725</v>
      </c>
      <c r="D282" s="9" t="s">
        <v>999</v>
      </c>
      <c r="E282" s="12" t="n">
        <v>65.3</v>
      </c>
      <c r="F282" s="56" t="n">
        <f aca="false">Model!$H$58</f>
        <v>65.28</v>
      </c>
      <c r="G282" s="31" t="n">
        <f aca="false">IFERROR(F282-E282,"n/a")</f>
        <v>-0.019999999999996</v>
      </c>
      <c r="H282" s="42" t="n">
        <v>0.050000001</v>
      </c>
      <c r="I282" s="60" t="str">
        <f aca="false">IFERROR(IF(ABS(F282-E282)&lt;=H282,"PASS","FAIL"),"FAIL")</f>
        <v>PASS</v>
      </c>
    </row>
    <row r="283" customFormat="false" ht="15" hidden="false" customHeight="false" outlineLevel="0" collapsed="false">
      <c r="B283" s="61" t="n">
        <v>275</v>
      </c>
      <c r="C283" s="9" t="s">
        <v>725</v>
      </c>
      <c r="D283" s="9" t="s">
        <v>1000</v>
      </c>
      <c r="E283" s="12" t="n">
        <v>69.9</v>
      </c>
      <c r="F283" s="56" t="n">
        <f aca="false">Model!$I$58</f>
        <v>69.94</v>
      </c>
      <c r="G283" s="31" t="n">
        <f aca="false">IFERROR(F283-E283,"n/a")</f>
        <v>0.039999999999992</v>
      </c>
      <c r="H283" s="42" t="n">
        <v>0.050000001</v>
      </c>
      <c r="I283" s="60" t="str">
        <f aca="false">IFERROR(IF(ABS(F283-E283)&lt;=H283,"PASS","FAIL"),"FAIL")</f>
        <v>PASS</v>
      </c>
    </row>
    <row r="284" customFormat="false" ht="15" hidden="false" customHeight="false" outlineLevel="0" collapsed="false">
      <c r="B284" s="61" t="n">
        <v>276</v>
      </c>
      <c r="C284" s="9" t="s">
        <v>725</v>
      </c>
      <c r="D284" s="9" t="s">
        <v>1001</v>
      </c>
      <c r="E284" s="12" t="n">
        <v>1210</v>
      </c>
      <c r="F284" s="56" t="n">
        <f aca="false">Model!$D$60</f>
        <v>1210</v>
      </c>
      <c r="G284" s="31" t="n">
        <f aca="false">IFERROR(F284-E284,"n/a")</f>
        <v>0</v>
      </c>
      <c r="H284" s="42" t="n">
        <v>0.050000001</v>
      </c>
      <c r="I284" s="60" t="str">
        <f aca="false">IFERROR(IF(ABS(F284-E284)&lt;=H284,"PASS","FAIL"),"FAIL")</f>
        <v>PASS</v>
      </c>
    </row>
    <row r="285" customFormat="false" ht="15" hidden="false" customHeight="false" outlineLevel="0" collapsed="false">
      <c r="B285" s="61" t="n">
        <v>277</v>
      </c>
      <c r="C285" s="9" t="s">
        <v>725</v>
      </c>
      <c r="D285" s="9" t="s">
        <v>1002</v>
      </c>
      <c r="E285" s="12" t="n">
        <v>1160</v>
      </c>
      <c r="F285" s="56" t="n">
        <f aca="false">Model!$E$60</f>
        <v>1160</v>
      </c>
      <c r="G285" s="31" t="n">
        <f aca="false">IFERROR(F285-E285,"n/a")</f>
        <v>0</v>
      </c>
      <c r="H285" s="42" t="n">
        <v>0.050000001</v>
      </c>
      <c r="I285" s="60" t="str">
        <f aca="false">IFERROR(IF(ABS(F285-E285)&lt;=H285,"PASS","FAIL"),"FAIL")</f>
        <v>PASS</v>
      </c>
    </row>
    <row r="286" customFormat="false" ht="15" hidden="false" customHeight="false" outlineLevel="0" collapsed="false">
      <c r="B286" s="61" t="n">
        <v>278</v>
      </c>
      <c r="C286" s="9" t="s">
        <v>725</v>
      </c>
      <c r="D286" s="9" t="s">
        <v>1003</v>
      </c>
      <c r="E286" s="12" t="n">
        <v>1100</v>
      </c>
      <c r="F286" s="56" t="n">
        <f aca="false">Model!$F$60</f>
        <v>1100</v>
      </c>
      <c r="G286" s="31" t="n">
        <f aca="false">IFERROR(F286-E286,"n/a")</f>
        <v>0</v>
      </c>
      <c r="H286" s="42" t="n">
        <v>0.050000001</v>
      </c>
      <c r="I286" s="60" t="str">
        <f aca="false">IFERROR(IF(ABS(F286-E286)&lt;=H286,"PASS","FAIL"),"FAIL")</f>
        <v>PASS</v>
      </c>
    </row>
    <row r="287" customFormat="false" ht="15" hidden="false" customHeight="false" outlineLevel="0" collapsed="false">
      <c r="B287" s="61" t="n">
        <v>279</v>
      </c>
      <c r="C287" s="9" t="s">
        <v>725</v>
      </c>
      <c r="D287" s="9" t="s">
        <v>1004</v>
      </c>
      <c r="E287" s="12" t="n">
        <v>1006.1</v>
      </c>
      <c r="F287" s="56" t="n">
        <f aca="false">Model!$G$60</f>
        <v>1006.10205312</v>
      </c>
      <c r="G287" s="31" t="n">
        <f aca="false">IFERROR(F287-E287,"n/a")</f>
        <v>0.00205311999991409</v>
      </c>
      <c r="H287" s="42" t="n">
        <v>0.050000001</v>
      </c>
      <c r="I287" s="60" t="str">
        <f aca="false">IFERROR(IF(ABS(F287-E287)&lt;=H287,"PASS","FAIL"),"FAIL")</f>
        <v>PASS</v>
      </c>
    </row>
    <row r="288" customFormat="false" ht="15" hidden="false" customHeight="false" outlineLevel="0" collapsed="false">
      <c r="B288" s="61" t="n">
        <v>280</v>
      </c>
      <c r="C288" s="9" t="s">
        <v>725</v>
      </c>
      <c r="D288" s="9" t="s">
        <v>1005</v>
      </c>
      <c r="E288" s="12" t="n">
        <v>879.2</v>
      </c>
      <c r="F288" s="56" t="n">
        <f aca="false">Model!$H$60</f>
        <v>879.214415541904</v>
      </c>
      <c r="G288" s="31" t="n">
        <f aca="false">IFERROR(F288-E288,"n/a")</f>
        <v>0.0144155419038725</v>
      </c>
      <c r="H288" s="42" t="n">
        <v>0.050000001</v>
      </c>
      <c r="I288" s="60" t="str">
        <f aca="false">IFERROR(IF(ABS(F288-E288)&lt;=H288,"PASS","FAIL"),"FAIL")</f>
        <v>PASS</v>
      </c>
    </row>
    <row r="289" customFormat="false" ht="15" hidden="false" customHeight="false" outlineLevel="0" collapsed="false">
      <c r="B289" s="61" t="n">
        <v>281</v>
      </c>
      <c r="C289" s="9" t="s">
        <v>725</v>
      </c>
      <c r="D289" s="9" t="s">
        <v>1006</v>
      </c>
      <c r="E289" s="12" t="n">
        <v>724.6</v>
      </c>
      <c r="F289" s="56" t="n">
        <f aca="false">Model!$I$60</f>
        <v>724.643163990825</v>
      </c>
      <c r="G289" s="31" t="n">
        <f aca="false">IFERROR(F289-E289,"n/a")</f>
        <v>0.0431639908248371</v>
      </c>
      <c r="H289" s="42" t="n">
        <v>0.050000001</v>
      </c>
      <c r="I289" s="60" t="str">
        <f aca="false">IFERROR(IF(ABS(F289-E289)&lt;=H289,"PASS","FAIL"),"FAIL")</f>
        <v>PASS</v>
      </c>
    </row>
    <row r="290" customFormat="false" ht="15" hidden="false" customHeight="false" outlineLevel="0" collapsed="false">
      <c r="B290" s="61" t="n">
        <v>282</v>
      </c>
      <c r="C290" s="9" t="s">
        <v>725</v>
      </c>
      <c r="D290" s="9" t="s">
        <v>1007</v>
      </c>
      <c r="E290" s="24" t="n">
        <v>3.7</v>
      </c>
      <c r="F290" s="55" t="n">
        <f aca="false">Model!$D$61</f>
        <v>3.69815703413918</v>
      </c>
      <c r="G290" s="31" t="n">
        <f aca="false">IFERROR(F290-E290,"n/a")</f>
        <v>-0.00184296586081567</v>
      </c>
      <c r="H290" s="42" t="n">
        <v>0.005000001</v>
      </c>
      <c r="I290" s="60" t="str">
        <f aca="false">IFERROR(IF(ABS(F290-E290)&lt;=H290,"PASS","FAIL"),"FAIL")</f>
        <v>PASS</v>
      </c>
    </row>
    <row r="291" customFormat="false" ht="15" hidden="false" customHeight="false" outlineLevel="0" collapsed="false">
      <c r="B291" s="61" t="n">
        <v>283</v>
      </c>
      <c r="C291" s="9" t="s">
        <v>725</v>
      </c>
      <c r="D291" s="9" t="s">
        <v>1008</v>
      </c>
      <c r="E291" s="24" t="n">
        <v>3.19</v>
      </c>
      <c r="F291" s="55" t="n">
        <f aca="false">Model!$E$61</f>
        <v>3.1863317355894</v>
      </c>
      <c r="G291" s="31" t="n">
        <f aca="false">IFERROR(F291-E291,"n/a")</f>
        <v>-0.00366826441059764</v>
      </c>
      <c r="H291" s="42" t="n">
        <v>0.005000001</v>
      </c>
      <c r="I291" s="60" t="str">
        <f aca="false">IFERROR(IF(ABS(F291-E291)&lt;=H291,"PASS","FAIL"),"FAIL")</f>
        <v>PASS</v>
      </c>
    </row>
    <row r="292" customFormat="false" ht="15" hidden="false" customHeight="false" outlineLevel="0" collapsed="false">
      <c r="B292" s="61" t="n">
        <v>284</v>
      </c>
      <c r="C292" s="9" t="s">
        <v>725</v>
      </c>
      <c r="D292" s="9" t="s">
        <v>1009</v>
      </c>
      <c r="E292" s="24" t="n">
        <v>2.76</v>
      </c>
      <c r="F292" s="55" t="n">
        <f aca="false">Model!$F$61</f>
        <v>2.75551102204409</v>
      </c>
      <c r="G292" s="31" t="n">
        <f aca="false">IFERROR(F292-E292,"n/a")</f>
        <v>-0.00448897795591208</v>
      </c>
      <c r="H292" s="42" t="n">
        <v>0.005000001</v>
      </c>
      <c r="I292" s="60" t="str">
        <f aca="false">IFERROR(IF(ABS(F292-E292)&lt;=H292,"PASS","FAIL"),"FAIL")</f>
        <v>PASS</v>
      </c>
    </row>
    <row r="293" customFormat="false" ht="15" hidden="false" customHeight="false" outlineLevel="0" collapsed="false">
      <c r="B293" s="61" t="n">
        <v>285</v>
      </c>
      <c r="C293" s="9" t="s">
        <v>725</v>
      </c>
      <c r="D293" s="9" t="s">
        <v>1010</v>
      </c>
      <c r="E293" s="24" t="n">
        <v>2.32</v>
      </c>
      <c r="F293" s="55" t="n">
        <f aca="false">Model!$G$61</f>
        <v>2.31657816191068</v>
      </c>
      <c r="G293" s="31" t="n">
        <f aca="false">IFERROR(F293-E293,"n/a")</f>
        <v>-0.00342183808932495</v>
      </c>
      <c r="H293" s="42" t="n">
        <v>0.005000001</v>
      </c>
      <c r="I293" s="60" t="str">
        <f aca="false">IFERROR(IF(ABS(F293-E293)&lt;=H293,"PASS","FAIL"),"FAIL")</f>
        <v>PASS</v>
      </c>
    </row>
    <row r="294" customFormat="false" ht="15" hidden="false" customHeight="false" outlineLevel="0" collapsed="false">
      <c r="B294" s="61" t="n">
        <v>286</v>
      </c>
      <c r="C294" s="9" t="s">
        <v>725</v>
      </c>
      <c r="D294" s="9" t="s">
        <v>1011</v>
      </c>
      <c r="E294" s="24" t="n">
        <v>1.84</v>
      </c>
      <c r="F294" s="55" t="n">
        <f aca="false">Model!$H$61</f>
        <v>1.84365632711989</v>
      </c>
      <c r="G294" s="31" t="n">
        <f aca="false">IFERROR(F294-E294,"n/a")</f>
        <v>0.00365632711988595</v>
      </c>
      <c r="H294" s="42" t="n">
        <v>0.005000001</v>
      </c>
      <c r="I294" s="60" t="str">
        <f aca="false">IFERROR(IF(ABS(F294-E294)&lt;=H294,"PASS","FAIL"),"FAIL")</f>
        <v>PASS</v>
      </c>
    </row>
    <row r="295" customFormat="false" ht="15" hidden="false" customHeight="false" outlineLevel="0" collapsed="false">
      <c r="B295" s="61" t="n">
        <v>287</v>
      </c>
      <c r="C295" s="9" t="s">
        <v>725</v>
      </c>
      <c r="D295" s="9" t="s">
        <v>1012</v>
      </c>
      <c r="E295" s="24" t="n">
        <v>1.39</v>
      </c>
      <c r="F295" s="55" t="n">
        <f aca="false">Model!$I$61</f>
        <v>1.39264633223615</v>
      </c>
      <c r="G295" s="31" t="n">
        <f aca="false">IFERROR(F295-E295,"n/a")</f>
        <v>0.00264633223614941</v>
      </c>
      <c r="H295" s="42" t="n">
        <v>0.005000001</v>
      </c>
      <c r="I295" s="60" t="str">
        <f aca="false">IFERROR(IF(ABS(F295-E295)&lt;=H295,"PASS","FAIL"),"FAIL")</f>
        <v>PASS</v>
      </c>
    </row>
    <row r="296" customFormat="false" ht="15" hidden="false" customHeight="false" outlineLevel="0" collapsed="false">
      <c r="B296" s="61" t="n">
        <v>288</v>
      </c>
      <c r="C296" s="9" t="s">
        <v>725</v>
      </c>
      <c r="D296" s="9" t="s">
        <v>1013</v>
      </c>
      <c r="E296" s="11" t="n">
        <v>0.242</v>
      </c>
      <c r="F296" s="62" t="n">
        <f aca="false">Model!$E$64</f>
        <v>0.241555555555556</v>
      </c>
      <c r="G296" s="31" t="n">
        <f aca="false">IFERROR(F296-E296,"n/a")</f>
        <v>-0.000444444444444331</v>
      </c>
      <c r="H296" s="42" t="n">
        <v>0.000500001</v>
      </c>
      <c r="I296" s="60" t="str">
        <f aca="false">IFERROR(IF(ABS(F296-E296)&lt;=H296,"PASS","FAIL"),"FAIL")</f>
        <v>PASS</v>
      </c>
    </row>
    <row r="297" customFormat="false" ht="15" hidden="false" customHeight="false" outlineLevel="0" collapsed="false">
      <c r="B297" s="61" t="n">
        <v>289</v>
      </c>
      <c r="C297" s="9" t="s">
        <v>725</v>
      </c>
      <c r="D297" s="9" t="s">
        <v>1014</v>
      </c>
      <c r="E297" s="11" t="n">
        <v>0.254</v>
      </c>
      <c r="F297" s="62" t="n">
        <f aca="false">Model!$F$64</f>
        <v>0.254</v>
      </c>
      <c r="G297" s="31" t="n">
        <f aca="false">IFERROR(F297-E297,"n/a")</f>
        <v>0</v>
      </c>
      <c r="H297" s="42" t="n">
        <v>0.000500001</v>
      </c>
      <c r="I297" s="60" t="str">
        <f aca="false">IFERROR(IF(ABS(F297-E297)&lt;=H297,"PASS","FAIL"),"FAIL")</f>
        <v>PASS</v>
      </c>
    </row>
    <row r="298" customFormat="false" ht="15" hidden="false" customHeight="false" outlineLevel="0" collapsed="false">
      <c r="B298" s="61" t="n">
        <v>290</v>
      </c>
      <c r="C298" s="9" t="s">
        <v>725</v>
      </c>
      <c r="D298" s="9" t="s">
        <v>1015</v>
      </c>
      <c r="E298" s="11" t="n">
        <v>0.189</v>
      </c>
      <c r="F298" s="62" t="n">
        <f aca="false">Model!$G$64</f>
        <v>0.188737588652483</v>
      </c>
      <c r="G298" s="31" t="n">
        <f aca="false">IFERROR(F298-E298,"n/a")</f>
        <v>-0.000262411347517255</v>
      </c>
      <c r="H298" s="42" t="n">
        <v>0.000500001</v>
      </c>
      <c r="I298" s="60" t="str">
        <f aca="false">IFERROR(IF(ABS(F298-E298)&lt;=H298,"PASS","FAIL"),"FAIL")</f>
        <v>PASS</v>
      </c>
    </row>
    <row r="299" customFormat="false" ht="15" hidden="false" customHeight="false" outlineLevel="0" collapsed="false">
      <c r="B299" s="61" t="n">
        <v>291</v>
      </c>
      <c r="C299" s="9" t="s">
        <v>725</v>
      </c>
      <c r="D299" s="9" t="s">
        <v>1016</v>
      </c>
      <c r="E299" s="11" t="n">
        <v>0.235</v>
      </c>
      <c r="F299" s="62" t="n">
        <f aca="false">Model!$H$64</f>
        <v>0.235009900990099</v>
      </c>
      <c r="G299" s="31" t="n">
        <f aca="false">IFERROR(F299-E299,"n/a")</f>
        <v>9.90099009898215E-006</v>
      </c>
      <c r="H299" s="42" t="n">
        <v>0.000500001</v>
      </c>
      <c r="I299" s="60" t="str">
        <f aca="false">IFERROR(IF(ABS(F299-E299)&lt;=H299,"PASS","FAIL"),"FAIL")</f>
        <v>PASS</v>
      </c>
    </row>
    <row r="300" customFormat="false" ht="15" hidden="false" customHeight="false" outlineLevel="0" collapsed="false">
      <c r="B300" s="61" t="n">
        <v>292</v>
      </c>
      <c r="C300" s="9" t="s">
        <v>725</v>
      </c>
      <c r="D300" s="9" t="s">
        <v>1017</v>
      </c>
      <c r="E300" s="11" t="n">
        <v>0.228</v>
      </c>
      <c r="F300" s="62" t="n">
        <f aca="false">Model!$I$64</f>
        <v>0.227912087912088</v>
      </c>
      <c r="G300" s="31" t="n">
        <f aca="false">IFERROR(F300-E300,"n/a")</f>
        <v>-8.7912087911951E-005</v>
      </c>
      <c r="H300" s="42" t="n">
        <v>0.000500001</v>
      </c>
      <c r="I300" s="60" t="str">
        <f aca="false">IFERROR(IF(ABS(F300-E300)&lt;=H300,"PASS","FAIL"),"FAIL")</f>
        <v>PASS</v>
      </c>
    </row>
    <row r="301" customFormat="false" ht="15" hidden="false" customHeight="false" outlineLevel="0" collapsed="false">
      <c r="B301" s="61" t="n">
        <v>293</v>
      </c>
      <c r="C301" s="9" t="s">
        <v>725</v>
      </c>
      <c r="D301" s="9" t="s">
        <v>1018</v>
      </c>
      <c r="E301" s="11" t="n">
        <v>0.28</v>
      </c>
      <c r="F301" s="62" t="n">
        <f aca="false">Model!$E$65</f>
        <v>0.280090909090909</v>
      </c>
      <c r="G301" s="31" t="n">
        <f aca="false">IFERROR(F301-E301,"n/a")</f>
        <v>9.09090909090859E-005</v>
      </c>
      <c r="H301" s="42" t="n">
        <v>0.000500001</v>
      </c>
      <c r="I301" s="60" t="str">
        <f aca="false">IFERROR(IF(ABS(F301-E301)&lt;=H301,"PASS","FAIL"),"FAIL")</f>
        <v>PASS</v>
      </c>
    </row>
    <row r="302" customFormat="false" ht="15" hidden="false" customHeight="false" outlineLevel="0" collapsed="false">
      <c r="B302" s="61" t="n">
        <v>294</v>
      </c>
      <c r="C302" s="9" t="s">
        <v>725</v>
      </c>
      <c r="D302" s="9" t="s">
        <v>1019</v>
      </c>
      <c r="E302" s="11" t="n">
        <v>0.284</v>
      </c>
      <c r="F302" s="62" t="n">
        <f aca="false">Model!$F$65</f>
        <v>0.284454545454545</v>
      </c>
      <c r="G302" s="31" t="n">
        <f aca="false">IFERROR(F302-E302,"n/a")</f>
        <v>0.00045454545454543</v>
      </c>
      <c r="H302" s="42" t="n">
        <v>0.000500001</v>
      </c>
      <c r="I302" s="60" t="str">
        <f aca="false">IFERROR(IF(ABS(F302-E302)&lt;=H302,"PASS","FAIL"),"FAIL")</f>
        <v>PASS</v>
      </c>
    </row>
    <row r="303" customFormat="false" ht="15" hidden="false" customHeight="false" outlineLevel="0" collapsed="false">
      <c r="B303" s="61" t="n">
        <v>295</v>
      </c>
      <c r="C303" s="9" t="s">
        <v>725</v>
      </c>
      <c r="D303" s="9" t="s">
        <v>1020</v>
      </c>
      <c r="E303" s="11" t="n">
        <v>0.31</v>
      </c>
      <c r="F303" s="62" t="n">
        <f aca="false">Model!$G$65</f>
        <v>0.310485549132948</v>
      </c>
      <c r="G303" s="31" t="n">
        <f aca="false">IFERROR(F303-E303,"n/a")</f>
        <v>0.000485549132947849</v>
      </c>
      <c r="H303" s="42" t="n">
        <v>0.000500001</v>
      </c>
      <c r="I303" s="60" t="str">
        <f aca="false">IFERROR(IF(ABS(F303-E303)&lt;=H303,"PASS","FAIL"),"FAIL")</f>
        <v>PASS</v>
      </c>
    </row>
    <row r="304" customFormat="false" ht="15" hidden="false" customHeight="false" outlineLevel="0" collapsed="false">
      <c r="B304" s="61" t="n">
        <v>296</v>
      </c>
      <c r="C304" s="9" t="s">
        <v>725</v>
      </c>
      <c r="D304" s="9" t="s">
        <v>1021</v>
      </c>
      <c r="E304" s="11" t="n">
        <v>0.301</v>
      </c>
      <c r="F304" s="62" t="n">
        <f aca="false">Model!$H$65</f>
        <v>0.301398362892224</v>
      </c>
      <c r="G304" s="31" t="n">
        <f aca="false">IFERROR(F304-E304,"n/a")</f>
        <v>0.00039836289222378</v>
      </c>
      <c r="H304" s="42" t="n">
        <v>0.000500001</v>
      </c>
      <c r="I304" s="60" t="str">
        <f aca="false">IFERROR(IF(ABS(F304-E304)&lt;=H304,"PASS","FAIL"),"FAIL")</f>
        <v>PASS</v>
      </c>
    </row>
    <row r="305" customFormat="false" ht="15" hidden="false" customHeight="false" outlineLevel="0" collapsed="false">
      <c r="B305" s="61" t="n">
        <v>297</v>
      </c>
      <c r="C305" s="9" t="s">
        <v>725</v>
      </c>
      <c r="D305" s="9" t="s">
        <v>1022</v>
      </c>
      <c r="E305" s="11" t="n">
        <v>0.292</v>
      </c>
      <c r="F305" s="62" t="n">
        <f aca="false">Model!$I$65</f>
        <v>0.291576354679803</v>
      </c>
      <c r="G305" s="31" t="n">
        <f aca="false">IFERROR(F305-E305,"n/a")</f>
        <v>-0.000423645320196897</v>
      </c>
      <c r="H305" s="42" t="n">
        <v>0.000500001</v>
      </c>
      <c r="I305" s="60" t="str">
        <f aca="false">IFERROR(IF(ABS(F305-E305)&lt;=H305,"PASS","FAIL"),"FAIL")</f>
        <v>PASS</v>
      </c>
    </row>
    <row r="306" customFormat="false" ht="15" hidden="false" customHeight="false" outlineLevel="0" collapsed="false">
      <c r="B306" s="61" t="n">
        <v>298</v>
      </c>
      <c r="C306" s="9" t="s">
        <v>725</v>
      </c>
      <c r="D306" s="9" t="s">
        <v>1023</v>
      </c>
      <c r="E306" s="11" t="n">
        <v>0.298</v>
      </c>
      <c r="F306" s="62" t="n">
        <f aca="false">Model!$E$66</f>
        <v>0.298333333333333</v>
      </c>
      <c r="G306" s="31" t="n">
        <f aca="false">IFERROR(F306-E306,"n/a")</f>
        <v>0.000333333333332964</v>
      </c>
      <c r="H306" s="42" t="n">
        <v>0.000500001</v>
      </c>
      <c r="I306" s="60" t="str">
        <f aca="false">IFERROR(IF(ABS(F306-E306)&lt;=H306,"PASS","FAIL"),"FAIL")</f>
        <v>PASS</v>
      </c>
    </row>
    <row r="307" customFormat="false" ht="15" hidden="false" customHeight="false" outlineLevel="0" collapsed="false">
      <c r="B307" s="61" t="n">
        <v>299</v>
      </c>
      <c r="C307" s="9" t="s">
        <v>725</v>
      </c>
      <c r="D307" s="9" t="s">
        <v>1024</v>
      </c>
      <c r="E307" s="11" t="n">
        <v>0.308</v>
      </c>
      <c r="F307" s="62" t="n">
        <f aca="false">Model!$F$66</f>
        <v>0.308333333333333</v>
      </c>
      <c r="G307" s="31" t="n">
        <f aca="false">IFERROR(F307-E307,"n/a")</f>
        <v>0.000333333333333352</v>
      </c>
      <c r="H307" s="42" t="n">
        <v>0.000500001</v>
      </c>
      <c r="I307" s="60" t="str">
        <f aca="false">IFERROR(IF(ABS(F307-E307)&lt;=H307,"PASS","FAIL"),"FAIL")</f>
        <v>PASS</v>
      </c>
    </row>
    <row r="308" customFormat="false" ht="15" hidden="false" customHeight="false" outlineLevel="0" collapsed="false">
      <c r="B308" s="61" t="n">
        <v>300</v>
      </c>
      <c r="C308" s="9" t="s">
        <v>725</v>
      </c>
      <c r="D308" s="9" t="s">
        <v>1025</v>
      </c>
      <c r="E308" s="11" t="n">
        <v>0.285</v>
      </c>
      <c r="F308" s="62" t="n">
        <f aca="false">Model!$G$66</f>
        <v>0.285134831460674</v>
      </c>
      <c r="G308" s="31" t="n">
        <f aca="false">IFERROR(F308-E308,"n/a")</f>
        <v>0.000134831460674334</v>
      </c>
      <c r="H308" s="42" t="n">
        <v>0.000500001</v>
      </c>
      <c r="I308" s="60" t="str">
        <f aca="false">IFERROR(IF(ABS(F308-E308)&lt;=H308,"PASS","FAIL"),"FAIL")</f>
        <v>PASS</v>
      </c>
    </row>
    <row r="309" customFormat="false" ht="15" hidden="false" customHeight="false" outlineLevel="0" collapsed="false">
      <c r="B309" s="61" t="n">
        <v>301</v>
      </c>
      <c r="C309" s="9" t="s">
        <v>725</v>
      </c>
      <c r="D309" s="9" t="s">
        <v>1026</v>
      </c>
      <c r="E309" s="11" t="n">
        <v>0.285</v>
      </c>
      <c r="F309" s="62" t="n">
        <f aca="false">Model!$H$66</f>
        <v>0.285292730844794</v>
      </c>
      <c r="G309" s="31" t="n">
        <f aca="false">IFERROR(F309-E309,"n/a")</f>
        <v>0.000292730844793809</v>
      </c>
      <c r="H309" s="42" t="n">
        <v>0.000500001</v>
      </c>
      <c r="I309" s="60" t="str">
        <f aca="false">IFERROR(IF(ABS(F309-E309)&lt;=H309,"PASS","FAIL"),"FAIL")</f>
        <v>PASS</v>
      </c>
    </row>
    <row r="310" customFormat="false" ht="15" hidden="false" customHeight="false" outlineLevel="0" collapsed="false">
      <c r="B310" s="61" t="n">
        <v>302</v>
      </c>
      <c r="C310" s="9" t="s">
        <v>725</v>
      </c>
      <c r="D310" s="9" t="s">
        <v>1027</v>
      </c>
      <c r="E310" s="11" t="n">
        <v>0.274</v>
      </c>
      <c r="F310" s="62" t="n">
        <f aca="false">Model!$I$66</f>
        <v>0.274195153896529</v>
      </c>
      <c r="G310" s="31" t="n">
        <f aca="false">IFERROR(F310-E310,"n/a")</f>
        <v>0.000195153896528855</v>
      </c>
      <c r="H310" s="42" t="n">
        <v>0.000500001</v>
      </c>
      <c r="I310" s="60" t="str">
        <f aca="false">IFERROR(IF(ABS(F310-E310)&lt;=H310,"PASS","FAIL"),"FAIL")</f>
        <v>PASS</v>
      </c>
    </row>
    <row r="311" customFormat="false" ht="15" hidden="false" customHeight="false" outlineLevel="0" collapsed="false">
      <c r="B311" s="61" t="n">
        <v>303</v>
      </c>
      <c r="C311" s="9" t="s">
        <v>725</v>
      </c>
      <c r="D311" s="9" t="s">
        <v>1028</v>
      </c>
      <c r="E311" s="11" t="n">
        <v>0.256</v>
      </c>
      <c r="F311" s="62" t="n">
        <f aca="false">Model!$E$67</f>
        <v>0.255576923076923</v>
      </c>
      <c r="G311" s="31" t="n">
        <f aca="false">IFERROR(F311-E311,"n/a")</f>
        <v>-0.000423076923076748</v>
      </c>
      <c r="H311" s="42" t="n">
        <v>0.000500001</v>
      </c>
      <c r="I311" s="60" t="str">
        <f aca="false">IFERROR(IF(ABS(F311-E311)&lt;=H311,"PASS","FAIL"),"FAIL")</f>
        <v>PASS</v>
      </c>
    </row>
    <row r="312" customFormat="false" ht="15" hidden="false" customHeight="false" outlineLevel="0" collapsed="false">
      <c r="B312" s="61" t="n">
        <v>304</v>
      </c>
      <c r="C312" s="9" t="s">
        <v>725</v>
      </c>
      <c r="D312" s="9" t="s">
        <v>1029</v>
      </c>
      <c r="E312" s="11" t="n">
        <v>0.265</v>
      </c>
      <c r="F312" s="62" t="n">
        <f aca="false">Model!$F$67</f>
        <v>0.264875</v>
      </c>
      <c r="G312" s="31" t="n">
        <f aca="false">IFERROR(F312-E312,"n/a")</f>
        <v>-0.000125000000000264</v>
      </c>
      <c r="H312" s="42" t="n">
        <v>0.000500001</v>
      </c>
      <c r="I312" s="60" t="str">
        <f aca="false">IFERROR(IF(ABS(F312-E312)&lt;=H312,"PASS","FAIL"),"FAIL")</f>
        <v>PASS</v>
      </c>
    </row>
    <row r="313" customFormat="false" ht="15" hidden="false" customHeight="false" outlineLevel="0" collapsed="false">
      <c r="B313" s="61" t="n">
        <v>305</v>
      </c>
      <c r="C313" s="9" t="s">
        <v>725</v>
      </c>
      <c r="D313" s="9" t="s">
        <v>1030</v>
      </c>
      <c r="E313" s="11" t="n">
        <v>0.25</v>
      </c>
      <c r="F313" s="62" t="n">
        <f aca="false">Model!$G$67</f>
        <v>0.250242089911864</v>
      </c>
      <c r="G313" s="31" t="n">
        <f aca="false">IFERROR(F313-E313,"n/a")</f>
        <v>0.000242089911863697</v>
      </c>
      <c r="H313" s="42" t="n">
        <v>0.000500001</v>
      </c>
      <c r="I313" s="60" t="str">
        <f aca="false">IFERROR(IF(ABS(F313-E313)&lt;=H313,"PASS","FAIL"),"FAIL")</f>
        <v>PASS</v>
      </c>
    </row>
    <row r="314" customFormat="false" ht="15" hidden="false" customHeight="false" outlineLevel="0" collapsed="false">
      <c r="B314" s="61" t="n">
        <v>306</v>
      </c>
      <c r="C314" s="9" t="s">
        <v>725</v>
      </c>
      <c r="D314" s="9" t="s">
        <v>1031</v>
      </c>
      <c r="E314" s="11" t="n">
        <v>0.263</v>
      </c>
      <c r="F314" s="62" t="n">
        <f aca="false">Model!$H$67</f>
        <v>0.262573732011862</v>
      </c>
      <c r="G314" s="31" t="n">
        <f aca="false">IFERROR(F314-E314,"n/a")</f>
        <v>-0.000426267988137719</v>
      </c>
      <c r="H314" s="42" t="n">
        <v>0.000500001</v>
      </c>
      <c r="I314" s="60" t="str">
        <f aca="false">IFERROR(IF(ABS(F314-E314)&lt;=H314,"PASS","FAIL"),"FAIL")</f>
        <v>PASS</v>
      </c>
    </row>
    <row r="315" customFormat="false" ht="15" hidden="false" customHeight="false" outlineLevel="0" collapsed="false">
      <c r="B315" s="61" t="n">
        <v>307</v>
      </c>
      <c r="C315" s="9" t="s">
        <v>725</v>
      </c>
      <c r="D315" s="9" t="s">
        <v>1032</v>
      </c>
      <c r="E315" s="11" t="n">
        <v>0.252</v>
      </c>
      <c r="F315" s="62" t="n">
        <f aca="false">Model!$I$67</f>
        <v>0.251851337953663</v>
      </c>
      <c r="G315" s="31" t="n">
        <f aca="false">IFERROR(F315-E315,"n/a")</f>
        <v>-0.000148662046337011</v>
      </c>
      <c r="H315" s="42" t="n">
        <v>0.000500001</v>
      </c>
      <c r="I315" s="60" t="str">
        <f aca="false">IFERROR(IF(ABS(F315-E315)&lt;=H315,"PASS","FAIL"),"FAIL")</f>
        <v>PASS</v>
      </c>
    </row>
    <row r="316" customFormat="false" ht="15" hidden="false" customHeight="false" outlineLevel="0" collapsed="false">
      <c r="B316" s="61" t="n">
        <v>308</v>
      </c>
      <c r="C316" s="9" t="s">
        <v>725</v>
      </c>
      <c r="D316" s="9" t="s">
        <v>1033</v>
      </c>
      <c r="E316" s="11" t="n">
        <v>0.509</v>
      </c>
      <c r="F316" s="62" t="n">
        <f aca="false">Model!$D$70</f>
        <v>0.509090909090909</v>
      </c>
      <c r="G316" s="31" t="n">
        <f aca="false">IFERROR(F316-E316,"n/a")</f>
        <v>9.09090909090304E-005</v>
      </c>
      <c r="H316" s="42" t="n">
        <v>0.000500001</v>
      </c>
      <c r="I316" s="60" t="str">
        <f aca="false">IFERROR(IF(ABS(F316-E316)&lt;=H316,"PASS","FAIL"),"FAIL")</f>
        <v>PASS</v>
      </c>
    </row>
    <row r="317" customFormat="false" ht="15" hidden="false" customHeight="false" outlineLevel="0" collapsed="false">
      <c r="B317" s="61" t="n">
        <v>309</v>
      </c>
      <c r="C317" s="9" t="s">
        <v>725</v>
      </c>
      <c r="D317" s="9" t="s">
        <v>1034</v>
      </c>
      <c r="E317" s="11" t="n">
        <v>0.291</v>
      </c>
      <c r="F317" s="62" t="n">
        <f aca="false">Model!$D$71</f>
        <v>0.290909090909091</v>
      </c>
      <c r="G317" s="31" t="n">
        <f aca="false">IFERROR(F317-E317,"n/a")</f>
        <v>-9.09090909090859E-005</v>
      </c>
      <c r="H317" s="42" t="n">
        <v>0.000500001</v>
      </c>
      <c r="I317" s="60" t="str">
        <f aca="false">IFERROR(IF(ABS(F317-E317)&lt;=H317,"PASS","FAIL"),"FAIL")</f>
        <v>PASS</v>
      </c>
    </row>
    <row r="318" customFormat="false" ht="15" hidden="false" customHeight="false" outlineLevel="0" collapsed="false">
      <c r="B318" s="61" t="n">
        <v>310</v>
      </c>
      <c r="C318" s="9" t="s">
        <v>725</v>
      </c>
      <c r="D318" s="9" t="s">
        <v>1035</v>
      </c>
      <c r="E318" s="11" t="n">
        <v>0.2</v>
      </c>
      <c r="F318" s="62" t="n">
        <f aca="false">Model!$D$72</f>
        <v>0.2</v>
      </c>
      <c r="G318" s="31" t="n">
        <f aca="false">IFERROR(F318-E318,"n/a")</f>
        <v>0</v>
      </c>
      <c r="H318" s="42" t="n">
        <v>0.000500001</v>
      </c>
      <c r="I318" s="60" t="str">
        <f aca="false">IFERROR(IF(ABS(F318-E318)&lt;=H318,"PASS","FAIL"),"FAIL")</f>
        <v>PASS</v>
      </c>
    </row>
    <row r="319" customFormat="false" ht="15" hidden="false" customHeight="false" outlineLevel="0" collapsed="false">
      <c r="B319" s="61" t="n">
        <v>311</v>
      </c>
      <c r="C319" s="9" t="s">
        <v>725</v>
      </c>
      <c r="D319" s="9" t="s">
        <v>1036</v>
      </c>
      <c r="E319" s="11" t="n">
        <v>0.48</v>
      </c>
      <c r="F319" s="62" t="n">
        <f aca="false">Model!$D$73</f>
        <v>0.479918763303591</v>
      </c>
      <c r="G319" s="31" t="n">
        <f aca="false">IFERROR(F319-E319,"n/a")</f>
        <v>-8.12366964089151E-005</v>
      </c>
      <c r="H319" s="42" t="n">
        <v>0.000500001</v>
      </c>
      <c r="I319" s="60" t="str">
        <f aca="false">IFERROR(IF(ABS(F319-E319)&lt;=H319,"PASS","FAIL"),"FAIL")</f>
        <v>PASS</v>
      </c>
    </row>
    <row r="320" customFormat="false" ht="15" hidden="false" customHeight="false" outlineLevel="0" collapsed="false">
      <c r="B320" s="61" t="n">
        <v>312</v>
      </c>
      <c r="C320" s="9" t="s">
        <v>725</v>
      </c>
      <c r="D320" s="9" t="s">
        <v>1037</v>
      </c>
      <c r="E320" s="11" t="n">
        <v>0.312</v>
      </c>
      <c r="F320" s="62" t="n">
        <f aca="false">Model!$D$74</f>
        <v>0.312298071303785</v>
      </c>
      <c r="G320" s="31" t="n">
        <f aca="false">IFERROR(F320-E320,"n/a")</f>
        <v>0.000298071303785008</v>
      </c>
      <c r="H320" s="42" t="n">
        <v>0.000500001</v>
      </c>
      <c r="I320" s="60" t="str">
        <f aca="false">IFERROR(IF(ABS(F320-E320)&lt;=H320,"PASS","FAIL"),"FAIL")</f>
        <v>PASS</v>
      </c>
    </row>
    <row r="321" customFormat="false" ht="15" hidden="false" customHeight="false" outlineLevel="0" collapsed="false">
      <c r="B321" s="61" t="n">
        <v>313</v>
      </c>
      <c r="C321" s="9" t="s">
        <v>725</v>
      </c>
      <c r="D321" s="9" t="s">
        <v>1038</v>
      </c>
      <c r="E321" s="11" t="n">
        <v>0.208</v>
      </c>
      <c r="F321" s="62" t="n">
        <f aca="false">Model!$D$75</f>
        <v>0.207783165392624</v>
      </c>
      <c r="G321" s="31" t="n">
        <f aca="false">IFERROR(F321-E321,"n/a")</f>
        <v>-0.000216834607375954</v>
      </c>
      <c r="H321" s="42" t="n">
        <v>0.000500001</v>
      </c>
      <c r="I321" s="60" t="str">
        <f aca="false">IFERROR(IF(ABS(F321-E321)&lt;=H321,"PASS","FAIL"),"FAIL")</f>
        <v>PASS</v>
      </c>
    </row>
    <row r="322" customFormat="false" ht="15" hidden="false" customHeight="false" outlineLevel="0" collapsed="false">
      <c r="B322" s="61" t="n">
        <v>314</v>
      </c>
      <c r="C322" s="9" t="s">
        <v>725</v>
      </c>
      <c r="D322" s="9" t="s">
        <v>1039</v>
      </c>
      <c r="E322" s="11" t="n">
        <v>0.378</v>
      </c>
      <c r="F322" s="62" t="n">
        <f aca="false">Model!$D$76</f>
        <v>0.377593360995851</v>
      </c>
      <c r="G322" s="31" t="n">
        <f aca="false">IFERROR(F322-E322,"n/a")</f>
        <v>-0.000406639004149334</v>
      </c>
      <c r="H322" s="42" t="n">
        <v>0.000500001</v>
      </c>
      <c r="I322" s="60" t="str">
        <f aca="false">IFERROR(IF(ABS(F322-E322)&lt;=H322,"PASS","FAIL"),"FAIL")</f>
        <v>PASS</v>
      </c>
    </row>
    <row r="323" customFormat="false" ht="15" hidden="false" customHeight="false" outlineLevel="0" collapsed="false">
      <c r="B323" s="61" t="n">
        <v>315</v>
      </c>
      <c r="C323" s="9" t="s">
        <v>725</v>
      </c>
      <c r="D323" s="9" t="s">
        <v>1040</v>
      </c>
      <c r="E323" s="11" t="n">
        <v>0.349</v>
      </c>
      <c r="F323" s="62" t="n">
        <f aca="false">Model!$D$77</f>
        <v>0.348547717842324</v>
      </c>
      <c r="G323" s="31" t="n">
        <f aca="false">IFERROR(F323-E323,"n/a")</f>
        <v>-0.000452282157676343</v>
      </c>
      <c r="H323" s="42" t="n">
        <v>0.000500001</v>
      </c>
      <c r="I323" s="60" t="str">
        <f aca="false">IFERROR(IF(ABS(F323-E323)&lt;=H323,"PASS","FAIL"),"FAIL")</f>
        <v>PASS</v>
      </c>
    </row>
    <row r="324" customFormat="false" ht="15" hidden="false" customHeight="false" outlineLevel="0" collapsed="false">
      <c r="B324" s="61" t="n">
        <v>316</v>
      </c>
      <c r="C324" s="9" t="s">
        <v>725</v>
      </c>
      <c r="D324" s="9" t="s">
        <v>1041</v>
      </c>
      <c r="E324" s="11" t="n">
        <v>0.274</v>
      </c>
      <c r="F324" s="62" t="n">
        <f aca="false">Model!$D$78</f>
        <v>0.273858921161826</v>
      </c>
      <c r="G324" s="31" t="n">
        <f aca="false">IFERROR(F324-E324,"n/a")</f>
        <v>-0.000141078838174324</v>
      </c>
      <c r="H324" s="42" t="n">
        <v>0.000500001</v>
      </c>
      <c r="I324" s="60" t="str">
        <f aca="false">IFERROR(IF(ABS(F324-E324)&lt;=H324,"PASS","FAIL"),"FAIL")</f>
        <v>PASS</v>
      </c>
    </row>
    <row r="325" customFormat="false" ht="15" hidden="false" customHeight="false" outlineLevel="0" collapsed="false">
      <c r="B325" s="61" t="n">
        <v>317</v>
      </c>
      <c r="C325" s="9" t="s">
        <v>725</v>
      </c>
      <c r="D325" s="9" t="s">
        <v>1042</v>
      </c>
      <c r="E325" s="11" t="n">
        <v>0.134</v>
      </c>
      <c r="F325" s="62" t="n">
        <f aca="false">Model!$D$81</f>
        <v>0.133804651391889</v>
      </c>
      <c r="G325" s="31" t="n">
        <f aca="false">IFERROR(F325-E325,"n/a")</f>
        <v>-0.000195348608111101</v>
      </c>
      <c r="H325" s="42" t="n">
        <v>0.000500001</v>
      </c>
      <c r="I325" s="60" t="str">
        <f aca="false">IFERROR(IF(ABS(F325-E325)&lt;=H325,"PASS","FAIL"),"FAIL")</f>
        <v>PASS</v>
      </c>
    </row>
    <row r="326" customFormat="false" ht="15" hidden="false" customHeight="false" outlineLevel="0" collapsed="false">
      <c r="B326" s="61" t="n">
        <v>318</v>
      </c>
      <c r="C326" s="9" t="s">
        <v>725</v>
      </c>
      <c r="D326" s="9" t="s">
        <v>1043</v>
      </c>
      <c r="E326" s="11" t="n">
        <v>0.061</v>
      </c>
      <c r="F326" s="62" t="n">
        <f aca="false">Model!$D$82</f>
        <v>0.0610415978476011</v>
      </c>
      <c r="G326" s="31" t="n">
        <f aca="false">IFERROR(F326-E326,"n/a")</f>
        <v>4.15978476011047E-005</v>
      </c>
      <c r="H326" s="42" t="n">
        <v>0.000500001</v>
      </c>
      <c r="I326" s="60" t="str">
        <f aca="false">IFERROR(IF(ABS(F326-E326)&lt;=H326,"PASS","FAIL"),"FAIL")</f>
        <v>PASS</v>
      </c>
    </row>
    <row r="327" customFormat="false" ht="15" hidden="false" customHeight="false" outlineLevel="0" collapsed="false">
      <c r="B327" s="61" t="n">
        <v>319</v>
      </c>
      <c r="C327" s="9" t="s">
        <v>725</v>
      </c>
      <c r="D327" s="9" t="s">
        <v>1044</v>
      </c>
      <c r="E327" s="63" t="n">
        <v>2.386</v>
      </c>
      <c r="F327" s="58" t="n">
        <f aca="false">Model!$D$42</f>
        <v>2.38551403508772</v>
      </c>
      <c r="G327" s="31" t="n">
        <f aca="false">IFERROR(F327-E327,"n/a")</f>
        <v>-0.000485964912280146</v>
      </c>
      <c r="H327" s="42" t="n">
        <v>0.000500001</v>
      </c>
      <c r="I327" s="60" t="str">
        <f aca="false">IFERROR(IF(ABS(F327-E327)&lt;=H327,"PASS","FAIL"),"FAIL")</f>
        <v>PASS</v>
      </c>
    </row>
    <row r="328" customFormat="false" ht="15" hidden="false" customHeight="false" outlineLevel="0" collapsed="false">
      <c r="B328" s="61" t="n">
        <v>320</v>
      </c>
      <c r="C328" s="9" t="s">
        <v>725</v>
      </c>
      <c r="D328" s="9" t="s">
        <v>1045</v>
      </c>
      <c r="E328" s="63" t="n">
        <v>0.513</v>
      </c>
      <c r="F328" s="58" t="n">
        <f aca="false">Model!$D$44</f>
        <v>0.513333333333333</v>
      </c>
      <c r="G328" s="31" t="n">
        <f aca="false">IFERROR(F328-E328,"n/a")</f>
        <v>0.000333333333333297</v>
      </c>
      <c r="H328" s="42" t="n">
        <v>0.000500001</v>
      </c>
      <c r="I328" s="60" t="str">
        <f aca="false">IFERROR(IF(ABS(F328-E328)&lt;=H328,"PASS","FAIL"),"FAIL")</f>
        <v>PASS</v>
      </c>
    </row>
    <row r="329" customFormat="false" ht="15" hidden="false" customHeight="false" outlineLevel="0" collapsed="false">
      <c r="B329" s="61" t="n">
        <v>321</v>
      </c>
      <c r="C329" s="9" t="s">
        <v>725</v>
      </c>
      <c r="D329" s="9" t="s">
        <v>1046</v>
      </c>
      <c r="E329" s="63" t="n">
        <v>0</v>
      </c>
      <c r="F329" s="58" t="n">
        <f aca="false">Model!$D$45</f>
        <v>0</v>
      </c>
      <c r="G329" s="31" t="n">
        <f aca="false">IFERROR(F329-E329,"n/a")</f>
        <v>0</v>
      </c>
      <c r="H329" s="42" t="n">
        <v>0.000500001</v>
      </c>
      <c r="I329" s="60" t="str">
        <f aca="false">IFERROR(IF(ABS(F329-E329)&lt;=H329,"PASS","FAIL"),"FAIL")</f>
        <v>PASS</v>
      </c>
    </row>
    <row r="330" customFormat="false" ht="15" hidden="false" customHeight="false" outlineLevel="0" collapsed="false">
      <c r="B330" s="61" t="n">
        <v>322</v>
      </c>
      <c r="C330" s="9" t="s">
        <v>725</v>
      </c>
      <c r="D330" s="9" t="s">
        <v>1047</v>
      </c>
      <c r="E330" s="63" t="n">
        <v>2.899</v>
      </c>
      <c r="F330" s="58" t="n">
        <f aca="false">Model!$D$48</f>
        <v>2.89884736842105</v>
      </c>
      <c r="G330" s="31" t="n">
        <f aca="false">IFERROR(F330-E330,"n/a")</f>
        <v>-0.000152631578946849</v>
      </c>
      <c r="H330" s="42" t="n">
        <v>0.000500001</v>
      </c>
      <c r="I330" s="60" t="str">
        <f aca="false">IFERROR(IF(ABS(F330-E330)&lt;=H330,"PASS","FAIL"),"FAIL")</f>
        <v>PASS</v>
      </c>
    </row>
    <row r="331" customFormat="false" ht="15" hidden="false" customHeight="false" outlineLevel="0" collapsed="false">
      <c r="B331" s="61" t="n">
        <v>323</v>
      </c>
      <c r="C331" s="9" t="s">
        <v>725</v>
      </c>
      <c r="D331" s="9" t="s">
        <v>1048</v>
      </c>
      <c r="E331" s="24" t="n">
        <v>0.51</v>
      </c>
      <c r="F331" s="55" t="n">
        <f aca="false">Model!$D$44</f>
        <v>0.513333333333333</v>
      </c>
      <c r="G331" s="31" t="n">
        <f aca="false">IFERROR(F331-E331,"n/a")</f>
        <v>0.0033333333333333</v>
      </c>
      <c r="H331" s="42" t="n">
        <v>0.005000001</v>
      </c>
      <c r="I331" s="60" t="str">
        <f aca="false">IFERROR(IF(ABS(F331-E331)&lt;=H331,"PASS","FAIL"),"FAIL")</f>
        <v>PASS</v>
      </c>
    </row>
    <row r="332" customFormat="false" ht="15" hidden="false" customHeight="false" outlineLevel="0" collapsed="false">
      <c r="B332" s="61" t="n">
        <v>324</v>
      </c>
      <c r="C332" s="9" t="s">
        <v>725</v>
      </c>
      <c r="D332" s="9" t="s">
        <v>1049</v>
      </c>
      <c r="E332" s="24" t="n">
        <v>0</v>
      </c>
      <c r="F332" s="55" t="n">
        <f aca="false">Model!$D$45</f>
        <v>0</v>
      </c>
      <c r="G332" s="31" t="n">
        <f aca="false">IFERROR(F332-E332,"n/a")</f>
        <v>0</v>
      </c>
      <c r="H332" s="42" t="n">
        <v>0.005000001</v>
      </c>
      <c r="I332" s="60" t="str">
        <f aca="false">IFERROR(IF(ABS(F332-E332)&lt;=H332,"PASS","FAIL"),"FAIL")</f>
        <v>PASS</v>
      </c>
    </row>
    <row r="333" customFormat="false" ht="15" hidden="false" customHeight="false" outlineLevel="0" collapsed="false">
      <c r="B333" s="61" t="n">
        <v>325</v>
      </c>
      <c r="C333" s="9" t="s">
        <v>725</v>
      </c>
      <c r="D333" s="9" t="s">
        <v>1050</v>
      </c>
      <c r="E333" s="11" t="n">
        <v>0.215</v>
      </c>
      <c r="F333" s="62" t="n">
        <f aca="false">Model!$D$50</f>
        <v>0.215187722974121</v>
      </c>
      <c r="G333" s="31" t="n">
        <f aca="false">IFERROR(F333-E333,"n/a")</f>
        <v>0.000187722974120813</v>
      </c>
      <c r="H333" s="42" t="n">
        <v>0.000500001</v>
      </c>
      <c r="I333" s="60" t="str">
        <f aca="false">IFERROR(IF(ABS(F333-E333)&lt;=H333,"PASS","FAIL"),"FAIL")</f>
        <v>PASS</v>
      </c>
    </row>
    <row r="334" customFormat="false" ht="15" hidden="false" customHeight="false" outlineLevel="0" collapsed="false">
      <c r="B334" s="61" t="n">
        <v>326</v>
      </c>
      <c r="C334" s="9" t="s">
        <v>725</v>
      </c>
      <c r="D334" s="9" t="s">
        <v>1051</v>
      </c>
      <c r="E334" s="63" t="n">
        <v>2.705</v>
      </c>
      <c r="F334" s="58" t="n">
        <f aca="false">Model!$E$42</f>
        <v>2.70546269982238</v>
      </c>
      <c r="G334" s="31" t="n">
        <f aca="false">IFERROR(F334-E334,"n/a")</f>
        <v>0.000462699822380674</v>
      </c>
      <c r="H334" s="42" t="n">
        <v>0.000500001</v>
      </c>
      <c r="I334" s="60" t="str">
        <f aca="false">IFERROR(IF(ABS(F334-E334)&lt;=H334,"PASS","FAIL"),"FAIL")</f>
        <v>PASS</v>
      </c>
    </row>
    <row r="335" customFormat="false" ht="15" hidden="false" customHeight="false" outlineLevel="0" collapsed="false">
      <c r="B335" s="61" t="n">
        <v>327</v>
      </c>
      <c r="C335" s="9" t="s">
        <v>725</v>
      </c>
      <c r="D335" s="9" t="s">
        <v>1052</v>
      </c>
      <c r="E335" s="63" t="n">
        <v>0.52</v>
      </c>
      <c r="F335" s="58" t="n">
        <f aca="false">Model!$E$44</f>
        <v>0.519715808170515</v>
      </c>
      <c r="G335" s="31" t="n">
        <f aca="false">IFERROR(F335-E335,"n/a")</f>
        <v>-0.000284191829484914</v>
      </c>
      <c r="H335" s="42" t="n">
        <v>0.000500001</v>
      </c>
      <c r="I335" s="60" t="str">
        <f aca="false">IFERROR(IF(ABS(F335-E335)&lt;=H335,"PASS","FAIL"),"FAIL")</f>
        <v>PASS</v>
      </c>
    </row>
    <row r="336" customFormat="false" ht="15" hidden="false" customHeight="false" outlineLevel="0" collapsed="false">
      <c r="B336" s="61" t="n">
        <v>328</v>
      </c>
      <c r="C336" s="9" t="s">
        <v>725</v>
      </c>
      <c r="D336" s="9" t="s">
        <v>1053</v>
      </c>
      <c r="E336" s="63" t="n">
        <v>0.205</v>
      </c>
      <c r="F336" s="58" t="n">
        <f aca="false">Model!$E$45</f>
        <v>0.205150976909414</v>
      </c>
      <c r="G336" s="31" t="n">
        <f aca="false">IFERROR(F336-E336,"n/a")</f>
        <v>0.000150976909413902</v>
      </c>
      <c r="H336" s="42" t="n">
        <v>0.000500001</v>
      </c>
      <c r="I336" s="60" t="str">
        <f aca="false">IFERROR(IF(ABS(F336-E336)&lt;=H336,"PASS","FAIL"),"FAIL")</f>
        <v>PASS</v>
      </c>
    </row>
    <row r="337" customFormat="false" ht="15" hidden="false" customHeight="false" outlineLevel="0" collapsed="false">
      <c r="B337" s="61" t="n">
        <v>329</v>
      </c>
      <c r="C337" s="9" t="s">
        <v>725</v>
      </c>
      <c r="D337" s="9" t="s">
        <v>1054</v>
      </c>
      <c r="E337" s="63" t="n">
        <v>3.43</v>
      </c>
      <c r="F337" s="58" t="n">
        <f aca="false">Model!$E$48</f>
        <v>3.43032948490231</v>
      </c>
      <c r="G337" s="31" t="n">
        <f aca="false">IFERROR(F337-E337,"n/a")</f>
        <v>0.000329484902309662</v>
      </c>
      <c r="H337" s="42" t="n">
        <v>0.000500001</v>
      </c>
      <c r="I337" s="60" t="str">
        <f aca="false">IFERROR(IF(ABS(F337-E337)&lt;=H337,"PASS","FAIL"),"FAIL")</f>
        <v>PASS</v>
      </c>
    </row>
    <row r="338" customFormat="false" ht="15" hidden="false" customHeight="false" outlineLevel="0" collapsed="false">
      <c r="B338" s="61" t="n">
        <v>330</v>
      </c>
      <c r="C338" s="9" t="s">
        <v>725</v>
      </c>
      <c r="D338" s="9" t="s">
        <v>1055</v>
      </c>
      <c r="E338" s="24" t="n">
        <v>0.52</v>
      </c>
      <c r="F338" s="55" t="n">
        <f aca="false">Model!$E$44</f>
        <v>0.519715808170515</v>
      </c>
      <c r="G338" s="31" t="n">
        <f aca="false">IFERROR(F338-E338,"n/a")</f>
        <v>-0.000284191829484914</v>
      </c>
      <c r="H338" s="42" t="n">
        <v>0.005000001</v>
      </c>
      <c r="I338" s="60" t="str">
        <f aca="false">IFERROR(IF(ABS(F338-E338)&lt;=H338,"PASS","FAIL"),"FAIL")</f>
        <v>PASS</v>
      </c>
    </row>
    <row r="339" customFormat="false" ht="15" hidden="false" customHeight="false" outlineLevel="0" collapsed="false">
      <c r="B339" s="61" t="n">
        <v>331</v>
      </c>
      <c r="C339" s="9" t="s">
        <v>725</v>
      </c>
      <c r="D339" s="9" t="s">
        <v>1056</v>
      </c>
      <c r="E339" s="24" t="n">
        <v>0.21</v>
      </c>
      <c r="F339" s="55" t="n">
        <f aca="false">Model!$E$45</f>
        <v>0.205150976909414</v>
      </c>
      <c r="G339" s="31" t="n">
        <f aca="false">IFERROR(F339-E339,"n/a")</f>
        <v>-0.0048490230905861</v>
      </c>
      <c r="H339" s="42" t="n">
        <v>0.005000001</v>
      </c>
      <c r="I339" s="60" t="str">
        <f aca="false">IFERROR(IF(ABS(F339-E339)&lt;=H339,"PASS","FAIL"),"FAIL")</f>
        <v>PASS</v>
      </c>
    </row>
    <row r="340" customFormat="false" ht="15" hidden="false" customHeight="false" outlineLevel="0" collapsed="false">
      <c r="B340" s="61" t="n">
        <v>332</v>
      </c>
      <c r="C340" s="9" t="s">
        <v>725</v>
      </c>
      <c r="D340" s="9" t="s">
        <v>1057</v>
      </c>
      <c r="E340" s="11" t="n">
        <v>0.268</v>
      </c>
      <c r="F340" s="62" t="n">
        <f aca="false">Model!$E$50</f>
        <v>0.267927103606906</v>
      </c>
      <c r="G340" s="31" t="n">
        <f aca="false">IFERROR(F340-E340,"n/a")</f>
        <v>-7.28963930944904E-005</v>
      </c>
      <c r="H340" s="42" t="n">
        <v>0.000500001</v>
      </c>
      <c r="I340" s="60" t="str">
        <f aca="false">IFERROR(IF(ABS(F340-E340)&lt;=H340,"PASS","FAIL"),"FAIL")</f>
        <v>PASS</v>
      </c>
    </row>
    <row r="341" customFormat="false" ht="15" hidden="false" customHeight="false" outlineLevel="0" collapsed="false">
      <c r="B341" s="61" t="n">
        <v>333</v>
      </c>
      <c r="C341" s="9" t="s">
        <v>725</v>
      </c>
      <c r="D341" s="9" t="s">
        <v>1058</v>
      </c>
      <c r="E341" s="63" t="n">
        <v>3.124</v>
      </c>
      <c r="F341" s="58" t="n">
        <f aca="false">Model!$F$42</f>
        <v>3.12431654676259</v>
      </c>
      <c r="G341" s="31" t="n">
        <f aca="false">IFERROR(F341-E341,"n/a")</f>
        <v>0.000316546762590075</v>
      </c>
      <c r="H341" s="42" t="n">
        <v>0.000500001</v>
      </c>
      <c r="I341" s="60" t="str">
        <f aca="false">IFERROR(IF(ABS(F341-E341)&lt;=H341,"PASS","FAIL"),"FAIL")</f>
        <v>PASS</v>
      </c>
    </row>
    <row r="342" customFormat="false" ht="15" hidden="false" customHeight="false" outlineLevel="0" collapsed="false">
      <c r="B342" s="61" t="n">
        <v>334</v>
      </c>
      <c r="C342" s="9" t="s">
        <v>725</v>
      </c>
      <c r="D342" s="9" t="s">
        <v>1059</v>
      </c>
      <c r="E342" s="63" t="n">
        <v>0.526</v>
      </c>
      <c r="F342" s="58" t="n">
        <f aca="false">Model!$F$44</f>
        <v>0.526258992805755</v>
      </c>
      <c r="G342" s="31" t="n">
        <f aca="false">IFERROR(F342-E342,"n/a")</f>
        <v>0.000258992805755365</v>
      </c>
      <c r="H342" s="42" t="n">
        <v>0.000500001</v>
      </c>
      <c r="I342" s="60" t="str">
        <f aca="false">IFERROR(IF(ABS(F342-E342)&lt;=H342,"PASS","FAIL"),"FAIL")</f>
        <v>PASS</v>
      </c>
    </row>
    <row r="343" customFormat="false" ht="15" hidden="false" customHeight="false" outlineLevel="0" collapsed="false">
      <c r="B343" s="61" t="n">
        <v>335</v>
      </c>
      <c r="C343" s="9" t="s">
        <v>725</v>
      </c>
      <c r="D343" s="9" t="s">
        <v>1060</v>
      </c>
      <c r="E343" s="63" t="n">
        <v>0.305</v>
      </c>
      <c r="F343" s="58" t="n">
        <f aca="false">Model!$F$45</f>
        <v>0.304676258992806</v>
      </c>
      <c r="G343" s="31" t="n">
        <f aca="false">IFERROR(F343-E343,"n/a")</f>
        <v>-0.000323741007194234</v>
      </c>
      <c r="H343" s="42" t="n">
        <v>0.000500001</v>
      </c>
      <c r="I343" s="60" t="str">
        <f aca="false">IFERROR(IF(ABS(F343-E343)&lt;=H343,"PASS","FAIL"),"FAIL")</f>
        <v>PASS</v>
      </c>
    </row>
    <row r="344" customFormat="false" ht="15" hidden="false" customHeight="false" outlineLevel="0" collapsed="false">
      <c r="B344" s="61" t="n">
        <v>336</v>
      </c>
      <c r="C344" s="9" t="s">
        <v>725</v>
      </c>
      <c r="D344" s="9" t="s">
        <v>1061</v>
      </c>
      <c r="E344" s="63" t="n">
        <v>3.955</v>
      </c>
      <c r="F344" s="58" t="n">
        <f aca="false">Model!$F$48</f>
        <v>3.95525179856115</v>
      </c>
      <c r="G344" s="31" t="n">
        <f aca="false">IFERROR(F344-E344,"n/a")</f>
        <v>0.000251798561151428</v>
      </c>
      <c r="H344" s="42" t="n">
        <v>0.000500001</v>
      </c>
      <c r="I344" s="60" t="str">
        <f aca="false">IFERROR(IF(ABS(F344-E344)&lt;=H344,"PASS","FAIL"),"FAIL")</f>
        <v>PASS</v>
      </c>
    </row>
    <row r="345" customFormat="false" ht="15" hidden="false" customHeight="false" outlineLevel="0" collapsed="false">
      <c r="B345" s="61" t="n">
        <v>337</v>
      </c>
      <c r="C345" s="9" t="s">
        <v>725</v>
      </c>
      <c r="D345" s="9" t="s">
        <v>1062</v>
      </c>
      <c r="E345" s="24" t="n">
        <v>0.53</v>
      </c>
      <c r="F345" s="55" t="n">
        <f aca="false">Model!$F$44</f>
        <v>0.526258992805755</v>
      </c>
      <c r="G345" s="31" t="n">
        <f aca="false">IFERROR(F345-E345,"n/a")</f>
        <v>-0.00374100719424464</v>
      </c>
      <c r="H345" s="42" t="n">
        <v>0.005000001</v>
      </c>
      <c r="I345" s="60" t="str">
        <f aca="false">IFERROR(IF(ABS(F345-E345)&lt;=H345,"PASS","FAIL"),"FAIL")</f>
        <v>PASS</v>
      </c>
    </row>
    <row r="346" customFormat="false" ht="15" hidden="false" customHeight="false" outlineLevel="0" collapsed="false">
      <c r="B346" s="61" t="n">
        <v>338</v>
      </c>
      <c r="C346" s="9" t="s">
        <v>725</v>
      </c>
      <c r="D346" s="9" t="s">
        <v>1063</v>
      </c>
      <c r="E346" s="24" t="n">
        <v>0.3</v>
      </c>
      <c r="F346" s="55" t="n">
        <f aca="false">Model!$F$45</f>
        <v>0.304676258992806</v>
      </c>
      <c r="G346" s="31" t="n">
        <f aca="false">IFERROR(F346-E346,"n/a")</f>
        <v>0.00467625899280577</v>
      </c>
      <c r="H346" s="42" t="n">
        <v>0.005000001</v>
      </c>
      <c r="I346" s="60" t="str">
        <f aca="false">IFERROR(IF(ABS(F346-E346)&lt;=H346,"PASS","FAIL"),"FAIL")</f>
        <v>PASS</v>
      </c>
    </row>
    <row r="347" customFormat="false" ht="15" hidden="false" customHeight="false" outlineLevel="0" collapsed="false">
      <c r="B347" s="61" t="n">
        <v>339</v>
      </c>
      <c r="C347" s="9" t="s">
        <v>725</v>
      </c>
      <c r="D347" s="9" t="s">
        <v>1064</v>
      </c>
      <c r="E347" s="11" t="n">
        <v>0.266</v>
      </c>
      <c r="F347" s="62" t="n">
        <f aca="false">Model!$F$50</f>
        <v>0.265957446808511</v>
      </c>
      <c r="G347" s="31" t="n">
        <f aca="false">IFERROR(F347-E347,"n/a")</f>
        <v>-4.25531914893806E-005</v>
      </c>
      <c r="H347" s="42" t="n">
        <v>0.000500001</v>
      </c>
      <c r="I347" s="60" t="str">
        <f aca="false">IFERROR(IF(ABS(F347-E347)&lt;=H347,"PASS","FAIL"),"FAIL")</f>
        <v>PASS</v>
      </c>
    </row>
    <row r="348" customFormat="false" ht="15" hidden="false" customHeight="false" outlineLevel="0" collapsed="false">
      <c r="B348" s="61" t="n">
        <v>340</v>
      </c>
      <c r="C348" s="9" t="s">
        <v>725</v>
      </c>
      <c r="D348" s="9" t="s">
        <v>1065</v>
      </c>
      <c r="E348" s="63" t="n">
        <v>3.698</v>
      </c>
      <c r="F348" s="58" t="n">
        <f aca="false">Model!$G$42</f>
        <v>3.698415616</v>
      </c>
      <c r="G348" s="31" t="n">
        <f aca="false">IFERROR(F348-E348,"n/a")</f>
        <v>0.000415616000001062</v>
      </c>
      <c r="H348" s="42" t="n">
        <v>0.000500001</v>
      </c>
      <c r="I348" s="60" t="str">
        <f aca="false">IFERROR(IF(ABS(F348-E348)&lt;=H348,"PASS","FAIL"),"FAIL")</f>
        <v>PASS</v>
      </c>
    </row>
    <row r="349" customFormat="false" ht="15" hidden="false" customHeight="false" outlineLevel="0" collapsed="false">
      <c r="B349" s="61" t="n">
        <v>341</v>
      </c>
      <c r="C349" s="9" t="s">
        <v>725</v>
      </c>
      <c r="D349" s="9" t="s">
        <v>1066</v>
      </c>
      <c r="E349" s="63" t="n">
        <v>0.532</v>
      </c>
      <c r="F349" s="58" t="n">
        <f aca="false">Model!$G$44</f>
        <v>0.532</v>
      </c>
      <c r="G349" s="31" t="n">
        <f aca="false">IFERROR(F349-E349,"n/a")</f>
        <v>0</v>
      </c>
      <c r="H349" s="42" t="n">
        <v>0.000500001</v>
      </c>
      <c r="I349" s="60" t="str">
        <f aca="false">IFERROR(IF(ABS(F349-E349)&lt;=H349,"PASS","FAIL"),"FAIL")</f>
        <v>PASS</v>
      </c>
    </row>
    <row r="350" customFormat="false" ht="15" hidden="false" customHeight="false" outlineLevel="0" collapsed="false">
      <c r="B350" s="61" t="n">
        <v>342</v>
      </c>
      <c r="C350" s="9" t="s">
        <v>725</v>
      </c>
      <c r="D350" s="9" t="s">
        <v>1067</v>
      </c>
      <c r="E350" s="63" t="n">
        <v>0.168</v>
      </c>
      <c r="F350" s="58" t="n">
        <f aca="false">Model!$G$45</f>
        <v>0.168</v>
      </c>
      <c r="G350" s="31" t="n">
        <f aca="false">IFERROR(F350-E350,"n/a")</f>
        <v>0</v>
      </c>
      <c r="H350" s="42" t="n">
        <v>0.000500001</v>
      </c>
      <c r="I350" s="60" t="str">
        <f aca="false">IFERROR(IF(ABS(F350-E350)&lt;=H350,"PASS","FAIL"),"FAIL")</f>
        <v>PASS</v>
      </c>
    </row>
    <row r="351" customFormat="false" ht="15" hidden="false" customHeight="false" outlineLevel="0" collapsed="false">
      <c r="B351" s="61" t="n">
        <v>343</v>
      </c>
      <c r="C351" s="9" t="s">
        <v>725</v>
      </c>
      <c r="D351" s="9" t="s">
        <v>1068</v>
      </c>
      <c r="E351" s="63" t="n">
        <v>4.398</v>
      </c>
      <c r="F351" s="58" t="n">
        <f aca="false">Model!$G$48</f>
        <v>4.398415616</v>
      </c>
      <c r="G351" s="31" t="n">
        <f aca="false">IFERROR(F351-E351,"n/a")</f>
        <v>0.000415616000001506</v>
      </c>
      <c r="H351" s="42" t="n">
        <v>0.000500001</v>
      </c>
      <c r="I351" s="60" t="str">
        <f aca="false">IFERROR(IF(ABS(F351-E351)&lt;=H351,"PASS","FAIL"),"FAIL")</f>
        <v>PASS</v>
      </c>
    </row>
    <row r="352" customFormat="false" ht="15" hidden="false" customHeight="false" outlineLevel="0" collapsed="false">
      <c r="B352" s="61" t="n">
        <v>344</v>
      </c>
      <c r="C352" s="9" t="s">
        <v>725</v>
      </c>
      <c r="D352" s="9" t="s">
        <v>1069</v>
      </c>
      <c r="E352" s="24" t="n">
        <v>0.53</v>
      </c>
      <c r="F352" s="55" t="n">
        <f aca="false">Model!$G$44</f>
        <v>0.532</v>
      </c>
      <c r="G352" s="31" t="n">
        <f aca="false">IFERROR(F352-E352,"n/a")</f>
        <v>0.002</v>
      </c>
      <c r="H352" s="42" t="n">
        <v>0.005000001</v>
      </c>
      <c r="I352" s="60" t="str">
        <f aca="false">IFERROR(IF(ABS(F352-E352)&lt;=H352,"PASS","FAIL"),"FAIL")</f>
        <v>PASS</v>
      </c>
    </row>
    <row r="353" customFormat="false" ht="15" hidden="false" customHeight="false" outlineLevel="0" collapsed="false">
      <c r="B353" s="61" t="n">
        <v>345</v>
      </c>
      <c r="C353" s="9" t="s">
        <v>725</v>
      </c>
      <c r="D353" s="9" t="s">
        <v>1070</v>
      </c>
      <c r="E353" s="24" t="n">
        <v>0.17</v>
      </c>
      <c r="F353" s="55" t="n">
        <f aca="false">Model!$G$45</f>
        <v>0.168</v>
      </c>
      <c r="G353" s="31" t="n">
        <f aca="false">IFERROR(F353-E353,"n/a")</f>
        <v>-0.002</v>
      </c>
      <c r="H353" s="42" t="n">
        <v>0.005000001</v>
      </c>
      <c r="I353" s="60" t="str">
        <f aca="false">IFERROR(IF(ABS(F353-E353)&lt;=H353,"PASS","FAIL"),"FAIL")</f>
        <v>PASS</v>
      </c>
    </row>
    <row r="354" customFormat="false" ht="15" hidden="false" customHeight="false" outlineLevel="0" collapsed="false">
      <c r="B354" s="61" t="n">
        <v>346</v>
      </c>
      <c r="C354" s="9" t="s">
        <v>725</v>
      </c>
      <c r="D354" s="9" t="s">
        <v>1071</v>
      </c>
      <c r="E354" s="11" t="n">
        <v>0.189</v>
      </c>
      <c r="F354" s="62" t="n">
        <f aca="false">Model!$G$50</f>
        <v>0.189270236955435</v>
      </c>
      <c r="G354" s="31" t="n">
        <f aca="false">IFERROR(F354-E354,"n/a")</f>
        <v>0.000270236955434655</v>
      </c>
      <c r="H354" s="42" t="n">
        <v>0.000500001</v>
      </c>
      <c r="I354" s="60" t="str">
        <f aca="false">IFERROR(IF(ABS(F354-E354)&lt;=H354,"PASS","FAIL"),"FAIL")</f>
        <v>PASS</v>
      </c>
    </row>
    <row r="355" customFormat="false" ht="15" hidden="false" customHeight="false" outlineLevel="0" collapsed="false">
      <c r="B355" s="61" t="n">
        <v>347</v>
      </c>
      <c r="C355" s="9" t="s">
        <v>725</v>
      </c>
      <c r="D355" s="9" t="s">
        <v>1072</v>
      </c>
      <c r="E355" s="63" t="n">
        <v>4.548</v>
      </c>
      <c r="F355" s="58" t="n">
        <f aca="false">Model!$H$42</f>
        <v>4.54845401877382</v>
      </c>
      <c r="G355" s="31" t="n">
        <f aca="false">IFERROR(F355-E355,"n/a")</f>
        <v>0.000454018773823783</v>
      </c>
      <c r="H355" s="42" t="n">
        <v>0.000500001</v>
      </c>
      <c r="I355" s="60" t="str">
        <f aca="false">IFERROR(IF(ABS(F355-E355)&lt;=H355,"PASS","FAIL"),"FAIL")</f>
        <v>PASS</v>
      </c>
    </row>
    <row r="356" customFormat="false" ht="15" hidden="false" customHeight="false" outlineLevel="0" collapsed="false">
      <c r="B356" s="61" t="n">
        <v>348</v>
      </c>
      <c r="C356" s="9" t="s">
        <v>725</v>
      </c>
      <c r="D356" s="9" t="s">
        <v>1073</v>
      </c>
      <c r="E356" s="63" t="n">
        <v>0.51</v>
      </c>
      <c r="F356" s="58" t="n">
        <f aca="false">Model!$H$44</f>
        <v>0.509558823529412</v>
      </c>
      <c r="G356" s="31" t="n">
        <f aca="false">IFERROR(F356-E356,"n/a")</f>
        <v>-0.000441176470588278</v>
      </c>
      <c r="H356" s="42" t="n">
        <v>0.000500001</v>
      </c>
      <c r="I356" s="60" t="str">
        <f aca="false">IFERROR(IF(ABS(F356-E356)&lt;=H356,"PASS","FAIL"),"FAIL")</f>
        <v>PASS</v>
      </c>
    </row>
    <row r="357" customFormat="false" ht="15" hidden="false" customHeight="false" outlineLevel="0" collapsed="false">
      <c r="B357" s="61" t="n">
        <v>349</v>
      </c>
      <c r="C357" s="9" t="s">
        <v>725</v>
      </c>
      <c r="D357" s="9" t="s">
        <v>1074</v>
      </c>
      <c r="E357" s="63" t="n">
        <v>0</v>
      </c>
      <c r="F357" s="58" t="n">
        <f aca="false">Model!$H$45</f>
        <v>0</v>
      </c>
      <c r="G357" s="31" t="n">
        <f aca="false">IFERROR(F357-E357,"n/a")</f>
        <v>0</v>
      </c>
      <c r="H357" s="42" t="n">
        <v>0.000500001</v>
      </c>
      <c r="I357" s="60" t="str">
        <f aca="false">IFERROR(IF(ABS(F357-E357)&lt;=H357,"PASS","FAIL"),"FAIL")</f>
        <v>PASS</v>
      </c>
    </row>
    <row r="358" customFormat="false" ht="15" hidden="false" customHeight="false" outlineLevel="0" collapsed="false">
      <c r="B358" s="61" t="n">
        <v>350</v>
      </c>
      <c r="C358" s="9" t="s">
        <v>725</v>
      </c>
      <c r="D358" s="9" t="s">
        <v>1075</v>
      </c>
      <c r="E358" s="63" t="n">
        <v>5.058</v>
      </c>
      <c r="F358" s="58" t="n">
        <f aca="false">Model!$H$48</f>
        <v>5.05801284230324</v>
      </c>
      <c r="G358" s="31" t="n">
        <f aca="false">IFERROR(F358-E358,"n/a")</f>
        <v>1.28423032350611E-005</v>
      </c>
      <c r="H358" s="42" t="n">
        <v>0.000500001</v>
      </c>
      <c r="I358" s="60" t="str">
        <f aca="false">IFERROR(IF(ABS(F358-E358)&lt;=H358,"PASS","FAIL"),"FAIL")</f>
        <v>PASS</v>
      </c>
    </row>
    <row r="359" customFormat="false" ht="15" hidden="false" customHeight="false" outlineLevel="0" collapsed="false">
      <c r="B359" s="61" t="n">
        <v>351</v>
      </c>
      <c r="C359" s="9" t="s">
        <v>725</v>
      </c>
      <c r="D359" s="9" t="s">
        <v>1076</v>
      </c>
      <c r="E359" s="24" t="n">
        <v>0.51</v>
      </c>
      <c r="F359" s="55" t="n">
        <f aca="false">Model!$H$44</f>
        <v>0.509558823529412</v>
      </c>
      <c r="G359" s="31" t="n">
        <f aca="false">IFERROR(F359-E359,"n/a")</f>
        <v>-0.000441176470588278</v>
      </c>
      <c r="H359" s="42" t="n">
        <v>0.005000001</v>
      </c>
      <c r="I359" s="60" t="str">
        <f aca="false">IFERROR(IF(ABS(F359-E359)&lt;=H359,"PASS","FAIL"),"FAIL")</f>
        <v>PASS</v>
      </c>
    </row>
    <row r="360" customFormat="false" ht="15" hidden="false" customHeight="false" outlineLevel="0" collapsed="false">
      <c r="B360" s="61" t="n">
        <v>352</v>
      </c>
      <c r="C360" s="9" t="s">
        <v>725</v>
      </c>
      <c r="D360" s="9" t="s">
        <v>1077</v>
      </c>
      <c r="E360" s="24" t="n">
        <v>0</v>
      </c>
      <c r="F360" s="55" t="n">
        <f aca="false">Model!$H$45</f>
        <v>0</v>
      </c>
      <c r="G360" s="31" t="n">
        <f aca="false">IFERROR(F360-E360,"n/a")</f>
        <v>0</v>
      </c>
      <c r="H360" s="42" t="n">
        <v>0.005000001</v>
      </c>
      <c r="I360" s="60" t="str">
        <f aca="false">IFERROR(IF(ABS(F360-E360)&lt;=H360,"PASS","FAIL"),"FAIL")</f>
        <v>PASS</v>
      </c>
    </row>
    <row r="361" customFormat="false" ht="15" hidden="false" customHeight="false" outlineLevel="0" collapsed="false">
      <c r="B361" s="61" t="n">
        <v>353</v>
      </c>
      <c r="C361" s="9" t="s">
        <v>725</v>
      </c>
      <c r="D361" s="9" t="s">
        <v>1078</v>
      </c>
      <c r="E361" s="11" t="n">
        <v>0.112</v>
      </c>
      <c r="F361" s="62" t="n">
        <f aca="false">Model!$H$50</f>
        <v>0.112029015007341</v>
      </c>
      <c r="G361" s="31" t="n">
        <f aca="false">IFERROR(F361-E361,"n/a")</f>
        <v>2.90150073406353E-005</v>
      </c>
      <c r="H361" s="42" t="n">
        <v>0.000500001</v>
      </c>
      <c r="I361" s="60" t="str">
        <f aca="false">IFERROR(IF(ABS(F361-E361)&lt;=H361,"PASS","FAIL"),"FAIL")</f>
        <v>PASS</v>
      </c>
    </row>
    <row r="362" customFormat="false" ht="15" hidden="false" customHeight="false" outlineLevel="0" collapsed="false">
      <c r="B362" s="61" t="n">
        <v>354</v>
      </c>
      <c r="C362" s="9" t="s">
        <v>725</v>
      </c>
      <c r="D362" s="9" t="s">
        <v>1079</v>
      </c>
      <c r="E362" s="63" t="n">
        <v>5.278</v>
      </c>
      <c r="F362" s="58" t="n">
        <f aca="false">Model!$I$42</f>
        <v>5.27824389269893</v>
      </c>
      <c r="G362" s="31" t="n">
        <f aca="false">IFERROR(F362-E362,"n/a")</f>
        <v>0.000243892698932768</v>
      </c>
      <c r="H362" s="42" t="n">
        <v>0.000500001</v>
      </c>
      <c r="I362" s="60" t="str">
        <f aca="false">IFERROR(IF(ABS(F362-E362)&lt;=H362,"PASS","FAIL"),"FAIL")</f>
        <v>PASS</v>
      </c>
    </row>
    <row r="363" customFormat="false" ht="15" hidden="false" customHeight="false" outlineLevel="0" collapsed="false">
      <c r="B363" s="61" t="n">
        <v>355</v>
      </c>
      <c r="C363" s="9" t="s">
        <v>725</v>
      </c>
      <c r="D363" s="9" t="s">
        <v>1080</v>
      </c>
      <c r="E363" s="63" t="n">
        <v>0.487</v>
      </c>
      <c r="F363" s="58" t="n">
        <f aca="false">Model!$I$44</f>
        <v>0.486617100371747</v>
      </c>
      <c r="G363" s="31" t="n">
        <f aca="false">IFERROR(F363-E363,"n/a")</f>
        <v>-0.000382899628252775</v>
      </c>
      <c r="H363" s="42" t="n">
        <v>0.000500001</v>
      </c>
      <c r="I363" s="60" t="str">
        <f aca="false">IFERROR(IF(ABS(F363-E363)&lt;=H363,"PASS","FAIL"),"FAIL")</f>
        <v>PASS</v>
      </c>
    </row>
    <row r="364" customFormat="false" ht="15" hidden="false" customHeight="false" outlineLevel="0" collapsed="false">
      <c r="B364" s="61" t="n">
        <v>356</v>
      </c>
      <c r="C364" s="9" t="s">
        <v>725</v>
      </c>
      <c r="D364" s="9" t="s">
        <v>1081</v>
      </c>
      <c r="E364" s="63" t="n">
        <v>0</v>
      </c>
      <c r="F364" s="58" t="n">
        <f aca="false">Model!$I$45</f>
        <v>0</v>
      </c>
      <c r="G364" s="31" t="n">
        <f aca="false">IFERROR(F364-E364,"n/a")</f>
        <v>0</v>
      </c>
      <c r="H364" s="42" t="n">
        <v>0.000500001</v>
      </c>
      <c r="I364" s="60" t="str">
        <f aca="false">IFERROR(IF(ABS(F364-E364)&lt;=H364,"PASS","FAIL"),"FAIL")</f>
        <v>PASS</v>
      </c>
    </row>
    <row r="365" customFormat="false" ht="15" hidden="false" customHeight="false" outlineLevel="0" collapsed="false">
      <c r="B365" s="61" t="n">
        <v>357</v>
      </c>
      <c r="C365" s="9" t="s">
        <v>725</v>
      </c>
      <c r="D365" s="9" t="s">
        <v>1082</v>
      </c>
      <c r="E365" s="63" t="n">
        <v>5.765</v>
      </c>
      <c r="F365" s="58" t="n">
        <f aca="false">Model!$I$48</f>
        <v>5.76486099307068</v>
      </c>
      <c r="G365" s="31" t="n">
        <f aca="false">IFERROR(F365-E365,"n/a")</f>
        <v>-0.000139006929320118</v>
      </c>
      <c r="H365" s="42" t="n">
        <v>0.000500001</v>
      </c>
      <c r="I365" s="60" t="str">
        <f aca="false">IFERROR(IF(ABS(F365-E365)&lt;=H365,"PASS","FAIL"),"FAIL")</f>
        <v>PASS</v>
      </c>
    </row>
    <row r="366" customFormat="false" ht="15" hidden="false" customHeight="false" outlineLevel="0" collapsed="false">
      <c r="B366" s="61" t="n">
        <v>358</v>
      </c>
      <c r="C366" s="9" t="s">
        <v>725</v>
      </c>
      <c r="D366" s="9" t="s">
        <v>1083</v>
      </c>
      <c r="E366" s="24" t="n">
        <v>0.49</v>
      </c>
      <c r="F366" s="55" t="n">
        <f aca="false">Model!$I$44</f>
        <v>0.486617100371747</v>
      </c>
      <c r="G366" s="31" t="n">
        <f aca="false">IFERROR(F366-E366,"n/a")</f>
        <v>-0.00338289962825278</v>
      </c>
      <c r="H366" s="42" t="n">
        <v>0.005000001</v>
      </c>
      <c r="I366" s="60" t="str">
        <f aca="false">IFERROR(IF(ABS(F366-E366)&lt;=H366,"PASS","FAIL"),"FAIL")</f>
        <v>PASS</v>
      </c>
    </row>
    <row r="367" customFormat="false" ht="15" hidden="false" customHeight="false" outlineLevel="0" collapsed="false">
      <c r="B367" s="61" t="n">
        <v>359</v>
      </c>
      <c r="C367" s="9" t="s">
        <v>725</v>
      </c>
      <c r="D367" s="9" t="s">
        <v>1084</v>
      </c>
      <c r="E367" s="24" t="n">
        <v>0</v>
      </c>
      <c r="F367" s="55" t="n">
        <f aca="false">Model!$I$45</f>
        <v>0</v>
      </c>
      <c r="G367" s="31" t="n">
        <f aca="false">IFERROR(F367-E367,"n/a")</f>
        <v>0</v>
      </c>
      <c r="H367" s="42" t="n">
        <v>0.005000001</v>
      </c>
      <c r="I367" s="60" t="str">
        <f aca="false">IFERROR(IF(ABS(F367-E367)&lt;=H367,"PASS","FAIL"),"FAIL")</f>
        <v>PASS</v>
      </c>
    </row>
    <row r="368" customFormat="false" ht="15" hidden="false" customHeight="false" outlineLevel="0" collapsed="false">
      <c r="B368" s="61" t="n">
        <v>360</v>
      </c>
      <c r="C368" s="9" t="s">
        <v>725</v>
      </c>
      <c r="D368" s="9" t="s">
        <v>1085</v>
      </c>
      <c r="E368" s="11" t="n">
        <v>0.092</v>
      </c>
      <c r="F368" s="62" t="n">
        <f aca="false">Model!$I$50</f>
        <v>0.0921929926437948</v>
      </c>
      <c r="G368" s="31" t="n">
        <f aca="false">IFERROR(F368-E368,"n/a")</f>
        <v>0.00019299264379477</v>
      </c>
      <c r="H368" s="42" t="n">
        <v>0.000500001</v>
      </c>
      <c r="I368" s="60" t="str">
        <f aca="false">IFERROR(IF(ABS(F368-E368)&lt;=H368,"PASS","FAIL"),"FAIL")</f>
        <v>PASS</v>
      </c>
    </row>
    <row r="369" customFormat="false" ht="15" hidden="false" customHeight="false" outlineLevel="0" collapsed="false">
      <c r="B369" s="61" t="n">
        <v>361</v>
      </c>
      <c r="C369" s="9" t="s">
        <v>725</v>
      </c>
      <c r="D369" s="9" t="s">
        <v>1086</v>
      </c>
      <c r="E369" s="12" t="n">
        <v>49</v>
      </c>
      <c r="F369" s="56" t="n">
        <f aca="false">Model!$D$83</f>
        <v>49</v>
      </c>
      <c r="G369" s="31" t="n">
        <f aca="false">IFERROR(F369-E369,"n/a")</f>
        <v>0</v>
      </c>
      <c r="H369" s="42" t="n">
        <v>0.050000001</v>
      </c>
      <c r="I369" s="60" t="str">
        <f aca="false">IFERROR(IF(ABS(F369-E369)&lt;=H369,"PASS","FAIL"),"FAIL")</f>
        <v>PASS</v>
      </c>
    </row>
    <row r="370" customFormat="false" ht="15" hidden="false" customHeight="false" outlineLevel="0" collapsed="false">
      <c r="B370" s="61" t="n">
        <v>362</v>
      </c>
      <c r="C370" s="9" t="s">
        <v>725</v>
      </c>
      <c r="D370" s="9" t="s">
        <v>1087</v>
      </c>
      <c r="E370" s="24" t="n">
        <v>4.23</v>
      </c>
      <c r="F370" s="55" t="n">
        <f aca="false">Model!$D$84</f>
        <v>4.230415616</v>
      </c>
      <c r="G370" s="31" t="n">
        <f aca="false">IFERROR(F370-E370,"n/a")</f>
        <v>0.000415616000000618</v>
      </c>
      <c r="H370" s="42" t="n">
        <v>0.005000001</v>
      </c>
      <c r="I370" s="60" t="str">
        <f aca="false">IFERROR(IF(ABS(F370-E370)&lt;=H370,"PASS","FAIL"),"FAIL")</f>
        <v>PASS</v>
      </c>
    </row>
    <row r="371" customFormat="false" ht="15" hidden="false" customHeight="false" outlineLevel="0" collapsed="false">
      <c r="B371" s="61" t="n">
        <v>363</v>
      </c>
      <c r="C371" s="9" t="s">
        <v>1088</v>
      </c>
      <c r="D371" s="9" t="s">
        <v>1089</v>
      </c>
      <c r="E371" s="12" t="n">
        <v>4689.3</v>
      </c>
      <c r="F371" s="56" t="n">
        <f aca="false">Valuation!$D$6</f>
        <v>4689.28</v>
      </c>
      <c r="G371" s="31" t="n">
        <f aca="false">IFERROR(F371-E371,"n/a")</f>
        <v>-0.0200000000004366</v>
      </c>
      <c r="H371" s="42" t="n">
        <v>0.050000001</v>
      </c>
      <c r="I371" s="60" t="str">
        <f aca="false">IFERROR(IF(ABS(F371-E371)&lt;=H371,"PASS","FAIL"),"FAIL")</f>
        <v>PASS</v>
      </c>
    </row>
    <row r="372" customFormat="false" ht="15" hidden="false" customHeight="false" outlineLevel="0" collapsed="false">
      <c r="B372" s="61" t="n">
        <v>364</v>
      </c>
      <c r="C372" s="9" t="s">
        <v>1088</v>
      </c>
      <c r="D372" s="9" t="s">
        <v>1090</v>
      </c>
      <c r="E372" s="12" t="n">
        <v>5695.4</v>
      </c>
      <c r="F372" s="56" t="n">
        <f aca="false">Valuation!$D$7</f>
        <v>5695.38205312</v>
      </c>
      <c r="G372" s="31" t="n">
        <f aca="false">IFERROR(F372-E372,"n/a")</f>
        <v>-0.0179468799997267</v>
      </c>
      <c r="H372" s="42" t="n">
        <v>0.050000001</v>
      </c>
      <c r="I372" s="60" t="str">
        <f aca="false">IFERROR(IF(ABS(F372-E372)&lt;=H372,"PASS","FAIL"),"FAIL")</f>
        <v>PASS</v>
      </c>
    </row>
    <row r="373" customFormat="false" ht="15" hidden="false" customHeight="false" outlineLevel="0" collapsed="false">
      <c r="B373" s="61" t="n">
        <v>365</v>
      </c>
      <c r="C373" s="9" t="s">
        <v>1088</v>
      </c>
      <c r="D373" s="9" t="s">
        <v>1091</v>
      </c>
      <c r="E373" s="12" t="n">
        <v>19.6</v>
      </c>
      <c r="F373" s="56" t="n">
        <f aca="false">Valuation!$D$8</f>
        <v>19.5979660690619</v>
      </c>
      <c r="G373" s="31" t="n">
        <f aca="false">IFERROR(F373-E373,"n/a")</f>
        <v>-0.00203393093810433</v>
      </c>
      <c r="H373" s="42" t="n">
        <v>0.050000001</v>
      </c>
      <c r="I373" s="60" t="str">
        <f aca="false">IFERROR(IF(ABS(F373-E373)&lt;=H373,"PASS","FAIL"),"FAIL")</f>
        <v>PASS</v>
      </c>
    </row>
    <row r="374" customFormat="false" ht="15" hidden="false" customHeight="false" outlineLevel="0" collapsed="false">
      <c r="B374" s="61" t="n">
        <v>366</v>
      </c>
      <c r="C374" s="9" t="s">
        <v>1088</v>
      </c>
      <c r="D374" s="9" t="s">
        <v>1092</v>
      </c>
      <c r="E374" s="12" t="n">
        <v>17</v>
      </c>
      <c r="F374" s="56" t="n">
        <f aca="false">Valuation!$D$9</f>
        <v>17.0422659426756</v>
      </c>
      <c r="G374" s="31" t="n">
        <f aca="false">IFERROR(F374-E374,"n/a")</f>
        <v>0.0422659426755558</v>
      </c>
      <c r="H374" s="42" t="n">
        <v>0.050000001</v>
      </c>
      <c r="I374" s="60" t="str">
        <f aca="false">IFERROR(IF(ABS(F374-E374)&lt;=H374,"PASS","FAIL"),"FAIL")</f>
        <v>PASS</v>
      </c>
    </row>
    <row r="375" customFormat="false" ht="15" hidden="false" customHeight="false" outlineLevel="0" collapsed="false">
      <c r="B375" s="61" t="n">
        <v>367</v>
      </c>
      <c r="C375" s="9" t="s">
        <v>1088</v>
      </c>
      <c r="D375" s="9" t="s">
        <v>1093</v>
      </c>
      <c r="E375" s="12" t="n">
        <v>11.9</v>
      </c>
      <c r="F375" s="56" t="n">
        <f aca="false">Valuation!$D$10</f>
        <v>11.9428514500958</v>
      </c>
      <c r="G375" s="31" t="n">
        <f aca="false">IFERROR(F375-E375,"n/a")</f>
        <v>0.0428514500957729</v>
      </c>
      <c r="H375" s="42" t="n">
        <v>0.050000001</v>
      </c>
      <c r="I375" s="60" t="str">
        <f aca="false">IFERROR(IF(ABS(F375-E375)&lt;=H375,"PASS","FAIL"),"FAIL")</f>
        <v>PASS</v>
      </c>
    </row>
    <row r="376" customFormat="false" ht="15" hidden="false" customHeight="false" outlineLevel="0" collapsed="false">
      <c r="B376" s="61" t="n">
        <v>368</v>
      </c>
      <c r="C376" s="9" t="s">
        <v>1088</v>
      </c>
      <c r="D376" s="9" t="s">
        <v>304</v>
      </c>
      <c r="E376" s="11" t="n">
        <v>0.044</v>
      </c>
      <c r="F376" s="62" t="n">
        <f aca="false">Valuation!$D$11</f>
        <v>0.0441674640118119</v>
      </c>
      <c r="G376" s="31" t="n">
        <f aca="false">IFERROR(F376-E376,"n/a")</f>
        <v>0.000167464011811856</v>
      </c>
      <c r="H376" s="42" t="n">
        <v>0.000500001</v>
      </c>
      <c r="I376" s="60" t="str">
        <f aca="false">IFERROR(IF(ABS(F376-E376)&lt;=H376,"PASS","FAIL"),"FAIL")</f>
        <v>PASS</v>
      </c>
    </row>
    <row r="377" customFormat="false" ht="15" hidden="false" customHeight="false" outlineLevel="0" collapsed="false">
      <c r="B377" s="61" t="n">
        <v>369</v>
      </c>
      <c r="C377" s="9" t="s">
        <v>1088</v>
      </c>
      <c r="D377" s="9" t="s">
        <v>1094</v>
      </c>
      <c r="E377" s="11" t="n">
        <v>0.013</v>
      </c>
      <c r="F377" s="62" t="n">
        <f aca="false">Valuation!$D$12</f>
        <v>0.0127610208816705</v>
      </c>
      <c r="G377" s="31" t="n">
        <f aca="false">IFERROR(F377-E377,"n/a")</f>
        <v>-0.000238979118329465</v>
      </c>
      <c r="H377" s="42" t="n">
        <v>0.000500001</v>
      </c>
      <c r="I377" s="60" t="str">
        <f aca="false">IFERROR(IF(ABS(F377-E377)&lt;=H377,"PASS","FAIL"),"FAIL")</f>
        <v>PASS</v>
      </c>
    </row>
    <row r="378" customFormat="false" ht="15" hidden="false" customHeight="false" outlineLevel="0" collapsed="false">
      <c r="B378" s="61" t="n">
        <v>370</v>
      </c>
      <c r="C378" s="9" t="s">
        <v>1088</v>
      </c>
      <c r="D378" s="9" t="s">
        <v>1095</v>
      </c>
      <c r="E378" s="12" t="n">
        <v>18.9</v>
      </c>
      <c r="F378" s="56" t="n">
        <f aca="false">Valuation!$D$22</f>
        <v>18.9</v>
      </c>
      <c r="G378" s="31" t="n">
        <f aca="false">IFERROR(F378-E378,"n/a")</f>
        <v>0</v>
      </c>
      <c r="H378" s="42" t="n">
        <v>0.050000001</v>
      </c>
      <c r="I378" s="60" t="str">
        <f aca="false">IFERROR(IF(ABS(F378-E378)&lt;=H378,"PASS","FAIL"),"FAIL")</f>
        <v>PASS</v>
      </c>
    </row>
    <row r="379" customFormat="false" ht="15" hidden="false" customHeight="false" outlineLevel="0" collapsed="false">
      <c r="B379" s="61" t="n">
        <v>371</v>
      </c>
      <c r="C379" s="9" t="s">
        <v>1088</v>
      </c>
      <c r="D379" s="9" t="s">
        <v>1096</v>
      </c>
      <c r="E379" s="12" t="n">
        <v>12.2</v>
      </c>
      <c r="F379" s="56" t="n">
        <f aca="false">Valuation!$E$22</f>
        <v>12.25</v>
      </c>
      <c r="G379" s="31" t="n">
        <f aca="false">IFERROR(F379-E379,"n/a")</f>
        <v>0.0500000000000007</v>
      </c>
      <c r="H379" s="42" t="n">
        <v>0.050000001</v>
      </c>
      <c r="I379" s="60" t="str">
        <f aca="false">IFERROR(IF(ABS(F379-E379)&lt;=H379,"PASS","FAIL"),"FAIL")</f>
        <v>PASS</v>
      </c>
    </row>
    <row r="380" customFormat="false" ht="15" hidden="false" customHeight="false" outlineLevel="0" collapsed="false">
      <c r="B380" s="61" t="n">
        <v>372</v>
      </c>
      <c r="C380" s="9" t="s">
        <v>1088</v>
      </c>
      <c r="D380" s="9" t="s">
        <v>1097</v>
      </c>
      <c r="E380" s="11" t="n">
        <v>0.055</v>
      </c>
      <c r="F380" s="62" t="n">
        <f aca="false">Valuation!$F$22</f>
        <v>0.0555</v>
      </c>
      <c r="G380" s="31" t="n">
        <f aca="false">IFERROR(F380-E380,"n/a")</f>
        <v>0.0005</v>
      </c>
      <c r="H380" s="42" t="n">
        <v>0.000500001</v>
      </c>
      <c r="I380" s="60" t="str">
        <f aca="false">IFERROR(IF(ABS(F380-E380)&lt;=H380,"PASS","FAIL"),"FAIL")</f>
        <v>PASS</v>
      </c>
    </row>
    <row r="381" customFormat="false" ht="15" hidden="false" customHeight="false" outlineLevel="0" collapsed="false">
      <c r="B381" s="61" t="n">
        <v>373</v>
      </c>
      <c r="C381" s="9" t="s">
        <v>1088</v>
      </c>
      <c r="D381" s="9" t="s">
        <v>1098</v>
      </c>
      <c r="E381" s="11" t="n">
        <v>0.171</v>
      </c>
      <c r="F381" s="62" t="n">
        <f aca="false">Valuation!$G$22</f>
        <v>0.1715</v>
      </c>
      <c r="G381" s="31" t="n">
        <f aca="false">IFERROR(F381-E381,"n/a")</f>
        <v>0.000499999999999973</v>
      </c>
      <c r="H381" s="42" t="n">
        <v>0.000500001</v>
      </c>
      <c r="I381" s="60" t="str">
        <f aca="false">IFERROR(IF(ABS(F381-E381)&lt;=H381,"PASS","FAIL"),"FAIL")</f>
        <v>PASS</v>
      </c>
    </row>
    <row r="382" customFormat="false" ht="15" hidden="false" customHeight="false" outlineLevel="0" collapsed="false">
      <c r="B382" s="61" t="n">
        <v>374</v>
      </c>
      <c r="C382" s="9" t="s">
        <v>1088</v>
      </c>
      <c r="D382" s="9" t="s">
        <v>1099</v>
      </c>
      <c r="E382" s="12" t="n">
        <v>14.9</v>
      </c>
      <c r="F382" s="56" t="n">
        <f aca="false">Valuation!$D$23</f>
        <v>14.9</v>
      </c>
      <c r="G382" s="31" t="n">
        <f aca="false">IFERROR(F382-E382,"n/a")</f>
        <v>0</v>
      </c>
      <c r="H382" s="42" t="n">
        <v>0.050000001</v>
      </c>
      <c r="I382" s="60" t="str">
        <f aca="false">IFERROR(IF(ABS(F382-E382)&lt;=H382,"PASS","FAIL"),"FAIL")</f>
        <v>PASS</v>
      </c>
    </row>
    <row r="383" customFormat="false" ht="15" hidden="false" customHeight="false" outlineLevel="0" collapsed="false">
      <c r="B383" s="61" t="n">
        <v>375</v>
      </c>
      <c r="C383" s="9" t="s">
        <v>1088</v>
      </c>
      <c r="D383" s="9" t="s">
        <v>1100</v>
      </c>
      <c r="E383" s="12" t="n">
        <v>25.1</v>
      </c>
      <c r="F383" s="56" t="n">
        <f aca="false">Valuation!$D$24</f>
        <v>25.1</v>
      </c>
      <c r="G383" s="31" t="n">
        <f aca="false">IFERROR(F383-E383,"n/a")</f>
        <v>0</v>
      </c>
      <c r="H383" s="42" t="n">
        <v>0.050000001</v>
      </c>
      <c r="I383" s="60" t="str">
        <f aca="false">IFERROR(IF(ABS(F383-E383)&lt;=H383,"PASS","FAIL"),"FAIL")</f>
        <v>PASS</v>
      </c>
    </row>
    <row r="384" customFormat="false" ht="15" hidden="false" customHeight="false" outlineLevel="0" collapsed="false">
      <c r="B384" s="61" t="n">
        <v>376</v>
      </c>
      <c r="C384" s="9" t="s">
        <v>1088</v>
      </c>
      <c r="D384" s="9" t="s">
        <v>1101</v>
      </c>
      <c r="E384" s="11" t="n">
        <v>0.061</v>
      </c>
      <c r="F384" s="62" t="n">
        <f aca="false">Valuation!$F$25</f>
        <v>0.0610415978476011</v>
      </c>
      <c r="G384" s="31" t="n">
        <f aca="false">IFERROR(F384-E384,"n/a")</f>
        <v>4.15978476011047E-005</v>
      </c>
      <c r="H384" s="42" t="n">
        <v>0.000500001</v>
      </c>
      <c r="I384" s="60" t="str">
        <f aca="false">IFERROR(IF(ABS(F384-E384)&lt;=H384,"PASS","FAIL"),"FAIL")</f>
        <v>PASS</v>
      </c>
    </row>
    <row r="385" customFormat="false" ht="15" hidden="false" customHeight="false" outlineLevel="0" collapsed="false">
      <c r="B385" s="61" t="n">
        <v>377</v>
      </c>
      <c r="C385" s="9" t="s">
        <v>1088</v>
      </c>
      <c r="D385" s="9" t="s">
        <v>1102</v>
      </c>
      <c r="E385" s="11" t="n">
        <v>0.165</v>
      </c>
      <c r="F385" s="62" t="n">
        <f aca="false">Valuation!$G$25</f>
        <v>0.164859829920591</v>
      </c>
      <c r="G385" s="31" t="n">
        <f aca="false">IFERROR(F385-E385,"n/a")</f>
        <v>-0.000140170079409419</v>
      </c>
      <c r="H385" s="42" t="n">
        <v>0.000500001</v>
      </c>
      <c r="I385" s="60" t="str">
        <f aca="false">IFERROR(IF(ABS(F385-E385)&lt;=H385,"PASS","FAIL"),"FAIL")</f>
        <v>PASS</v>
      </c>
    </row>
    <row r="386" customFormat="false" ht="15" hidden="false" customHeight="false" outlineLevel="0" collapsed="false">
      <c r="B386" s="61" t="n">
        <v>378</v>
      </c>
      <c r="C386" s="9" t="s">
        <v>1088</v>
      </c>
      <c r="D386" s="9" t="s">
        <v>1103</v>
      </c>
      <c r="E386" s="11" t="n">
        <v>-0.098</v>
      </c>
      <c r="F386" s="62" t="n">
        <f aca="false">Valuation!$D$26</f>
        <v>-0.0982928072658436</v>
      </c>
      <c r="G386" s="31" t="n">
        <f aca="false">IFERROR(F386-E386,"n/a")</f>
        <v>-0.000292807265843548</v>
      </c>
      <c r="H386" s="42" t="n">
        <v>0.000500001</v>
      </c>
      <c r="I386" s="60" t="str">
        <f aca="false">IFERROR(IF(ABS(F386-E386)&lt;=H386,"PASS","FAIL"),"FAIL")</f>
        <v>PASS</v>
      </c>
    </row>
    <row r="387" customFormat="false" ht="15" hidden="false" customHeight="false" outlineLevel="0" collapsed="false">
      <c r="B387" s="61" t="n">
        <v>379</v>
      </c>
      <c r="C387" s="9" t="s">
        <v>725</v>
      </c>
      <c r="D387" s="9" t="s">
        <v>1104</v>
      </c>
      <c r="E387" s="11" t="n">
        <v>0.491</v>
      </c>
      <c r="F387" s="62" t="n">
        <f aca="false">Model!$D$79</f>
        <v>0.490909090909091</v>
      </c>
      <c r="G387" s="31" t="n">
        <f aca="false">IFERROR(F387-E387,"n/a")</f>
        <v>-9.09090909090859E-005</v>
      </c>
      <c r="H387" s="42" t="n">
        <v>0.000500001</v>
      </c>
      <c r="I387" s="60" t="str">
        <f aca="false">IFERROR(IF(ABS(F387-E387)&lt;=H387,"PASS","FAIL"),"FAIL")</f>
        <v>PASS</v>
      </c>
    </row>
    <row r="388" customFormat="false" ht="15" hidden="false" customHeight="false" outlineLevel="0" collapsed="false">
      <c r="B388" s="61" t="n">
        <v>380</v>
      </c>
      <c r="C388" s="9" t="s">
        <v>725</v>
      </c>
      <c r="D388" s="9" t="s">
        <v>1105</v>
      </c>
      <c r="E388" s="11" t="n">
        <v>0.622</v>
      </c>
      <c r="F388" s="62" t="n">
        <f aca="false">Model!$D$80</f>
        <v>0.622406639004149</v>
      </c>
      <c r="G388" s="31" t="n">
        <f aca="false">IFERROR(F388-E388,"n/a")</f>
        <v>0.000406639004149389</v>
      </c>
      <c r="H388" s="42" t="n">
        <v>0.000500001</v>
      </c>
      <c r="I388" s="60" t="str">
        <f aca="false">IFERROR(IF(ABS(F388-E388)&lt;=H388,"PASS","FAIL"),"FAIL")</f>
        <v>PASS</v>
      </c>
    </row>
    <row r="389" customFormat="false" ht="15" hidden="false" customHeight="false" outlineLevel="0" collapsed="false">
      <c r="B389" s="61" t="n">
        <v>381</v>
      </c>
      <c r="C389" s="9" t="s">
        <v>1088</v>
      </c>
      <c r="D389" s="9" t="s">
        <v>1106</v>
      </c>
      <c r="E389" s="24" t="n">
        <v>101.16</v>
      </c>
      <c r="F389" s="55" t="n">
        <f aca="false">Valuation!$D$31</f>
        <v>101.160256846065</v>
      </c>
      <c r="G389" s="31" t="n">
        <f aca="false">IFERROR(F389-E389,"n/a")</f>
        <v>0.000256846064701222</v>
      </c>
      <c r="H389" s="42" t="n">
        <v>0.005000001</v>
      </c>
      <c r="I389" s="60" t="str">
        <f aca="false">IFERROR(IF(ABS(F389-E389)&lt;=H389,"PASS","FAIL"),"FAIL")</f>
        <v>PASS</v>
      </c>
    </row>
    <row r="390" customFormat="false" ht="15" hidden="false" customHeight="false" outlineLevel="0" collapsed="false">
      <c r="B390" s="61" t="n">
        <v>382</v>
      </c>
      <c r="C390" s="9" t="s">
        <v>1088</v>
      </c>
      <c r="D390" s="9" t="s">
        <v>1107</v>
      </c>
      <c r="E390" s="64" t="n">
        <v>101</v>
      </c>
      <c r="F390" s="34" t="n">
        <f aca="false">Valuation!$D$32</f>
        <v>101</v>
      </c>
      <c r="G390" s="31" t="n">
        <f aca="false">IFERROR(F390-E390,"n/a")</f>
        <v>0</v>
      </c>
      <c r="H390" s="42" t="n">
        <v>0.500000001</v>
      </c>
      <c r="I390" s="60" t="str">
        <f aca="false">IFERROR(IF(ABS(F390-E390)&lt;=H390,"PASS","FAIL"),"FAIL")</f>
        <v>PASS</v>
      </c>
    </row>
    <row r="391" customFormat="false" ht="15" hidden="false" customHeight="false" outlineLevel="0" collapsed="false">
      <c r="B391" s="61" t="n">
        <v>383</v>
      </c>
      <c r="C391" s="9" t="s">
        <v>1088</v>
      </c>
      <c r="D391" s="9" t="s">
        <v>1108</v>
      </c>
      <c r="E391" s="12" t="n">
        <v>5961.1</v>
      </c>
      <c r="F391" s="56" t="n">
        <f aca="false">Valuation!$D$37</f>
        <v>5961.07855494</v>
      </c>
      <c r="G391" s="31" t="n">
        <f aca="false">IFERROR(F391-E391,"n/a")</f>
        <v>-0.0214450599996781</v>
      </c>
      <c r="H391" s="42" t="n">
        <v>0.050000001</v>
      </c>
      <c r="I391" s="60" t="str">
        <f aca="false">IFERROR(IF(ABS(F391-E391)&lt;=H391,"PASS","FAIL"),"FAIL")</f>
        <v>PASS</v>
      </c>
    </row>
    <row r="392" customFormat="false" ht="15" hidden="false" customHeight="false" outlineLevel="0" collapsed="false">
      <c r="B392" s="61" t="n">
        <v>384</v>
      </c>
      <c r="C392" s="9" t="s">
        <v>1088</v>
      </c>
      <c r="D392" s="9" t="s">
        <v>1109</v>
      </c>
      <c r="E392" s="12" t="n">
        <v>4955</v>
      </c>
      <c r="F392" s="56" t="n">
        <f aca="false">Valuation!$D$39</f>
        <v>4954.97650182</v>
      </c>
      <c r="G392" s="31" t="n">
        <f aca="false">IFERROR(F392-E392,"n/a")</f>
        <v>-0.0234981799994785</v>
      </c>
      <c r="H392" s="42" t="n">
        <v>0.050000001</v>
      </c>
      <c r="I392" s="60" t="str">
        <f aca="false">IFERROR(IF(ABS(F392-E392)&lt;=H392,"PASS","FAIL"),"FAIL")</f>
        <v>PASS</v>
      </c>
    </row>
    <row r="393" customFormat="false" ht="15" hidden="false" customHeight="false" outlineLevel="0" collapsed="false">
      <c r="B393" s="61" t="n">
        <v>385</v>
      </c>
      <c r="C393" s="9" t="s">
        <v>1088</v>
      </c>
      <c r="D393" s="9" t="s">
        <v>1110</v>
      </c>
      <c r="E393" s="24" t="n">
        <v>91.08</v>
      </c>
      <c r="F393" s="55" t="n">
        <f aca="false">Valuation!$D$41</f>
        <v>91.0841268716912</v>
      </c>
      <c r="G393" s="31" t="n">
        <f aca="false">IFERROR(F393-E393,"n/a")</f>
        <v>0.00412687169118442</v>
      </c>
      <c r="H393" s="42" t="n">
        <v>0.005000001</v>
      </c>
      <c r="I393" s="60" t="str">
        <f aca="false">IFERROR(IF(ABS(F393-E393)&lt;=H393,"PASS","FAIL"),"FAIL")</f>
        <v>PASS</v>
      </c>
    </row>
    <row r="394" customFormat="false" ht="15" hidden="false" customHeight="false" outlineLevel="0" collapsed="false">
      <c r="B394" s="61" t="n">
        <v>386</v>
      </c>
      <c r="C394" s="9" t="s">
        <v>1088</v>
      </c>
      <c r="D394" s="9" t="s">
        <v>1111</v>
      </c>
      <c r="E394" s="12" t="n">
        <v>164.1</v>
      </c>
      <c r="F394" s="56" t="n">
        <f aca="false">Valuation!$D$45</f>
        <v>164.059926912</v>
      </c>
      <c r="G394" s="31" t="n">
        <f aca="false">IFERROR(F394-E394,"n/a")</f>
        <v>-0.0400730879999571</v>
      </c>
      <c r="H394" s="42" t="n">
        <v>0.050000001</v>
      </c>
      <c r="I394" s="60" t="str">
        <f aca="false">IFERROR(IF(ABS(F394-E394)&lt;=H394,"PASS","FAIL"),"FAIL")</f>
        <v>PASS</v>
      </c>
    </row>
    <row r="395" customFormat="false" ht="15" hidden="false" customHeight="false" outlineLevel="0" collapsed="false">
      <c r="B395" s="61" t="n">
        <v>387</v>
      </c>
      <c r="C395" s="9" t="s">
        <v>1088</v>
      </c>
      <c r="D395" s="9" t="s">
        <v>1112</v>
      </c>
      <c r="E395" s="12" t="n">
        <v>1804.7</v>
      </c>
      <c r="F395" s="56" t="n">
        <f aca="false">Valuation!$F$45</f>
        <v>1804.659196032</v>
      </c>
      <c r="G395" s="31" t="n">
        <f aca="false">IFERROR(F395-E395,"n/a")</f>
        <v>-0.0408039679996364</v>
      </c>
      <c r="H395" s="42" t="n">
        <v>0.050000001</v>
      </c>
      <c r="I395" s="60" t="str">
        <f aca="false">IFERROR(IF(ABS(F395-E395)&lt;=H395,"PASS","FAIL"),"FAIL")</f>
        <v>PASS</v>
      </c>
    </row>
    <row r="396" customFormat="false" ht="15" hidden="false" customHeight="false" outlineLevel="0" collapsed="false">
      <c r="B396" s="61" t="n">
        <v>388</v>
      </c>
      <c r="C396" s="9" t="s">
        <v>1088</v>
      </c>
      <c r="D396" s="9" t="s">
        <v>1113</v>
      </c>
      <c r="E396" s="11" t="n">
        <v>0.262</v>
      </c>
      <c r="F396" s="62" t="n">
        <f aca="false">Valuation!$G$45</f>
        <v>0.262469550735941</v>
      </c>
      <c r="G396" s="31" t="n">
        <f aca="false">IFERROR(F396-E396,"n/a")</f>
        <v>0.000469550735941349</v>
      </c>
      <c r="H396" s="42" t="n">
        <v>0.000500001</v>
      </c>
      <c r="I396" s="60" t="str">
        <f aca="false">IFERROR(IF(ABS(F396-E396)&lt;=H396,"PASS","FAIL"),"FAIL")</f>
        <v>PASS</v>
      </c>
    </row>
    <row r="397" customFormat="false" ht="15" hidden="false" customHeight="false" outlineLevel="0" collapsed="false">
      <c r="B397" s="61" t="n">
        <v>389</v>
      </c>
      <c r="C397" s="9" t="s">
        <v>1088</v>
      </c>
      <c r="D397" s="9" t="s">
        <v>1114</v>
      </c>
      <c r="E397" s="12" t="n">
        <v>170.8</v>
      </c>
      <c r="F397" s="56" t="n">
        <f aca="false">Valuation!$D$46</f>
        <v>170.791281</v>
      </c>
      <c r="G397" s="31" t="n">
        <f aca="false">IFERROR(F397-E397,"n/a")</f>
        <v>-0.00871900000004189</v>
      </c>
      <c r="H397" s="42" t="n">
        <v>0.050000001</v>
      </c>
      <c r="I397" s="60" t="str">
        <f aca="false">IFERROR(IF(ABS(F397-E397)&lt;=H397,"PASS","FAIL"),"FAIL")</f>
        <v>PASS</v>
      </c>
    </row>
    <row r="398" customFormat="false" ht="15" hidden="false" customHeight="false" outlineLevel="0" collapsed="false">
      <c r="B398" s="61" t="n">
        <v>390</v>
      </c>
      <c r="C398" s="9" t="s">
        <v>1088</v>
      </c>
      <c r="D398" s="9" t="s">
        <v>1115</v>
      </c>
      <c r="E398" s="12" t="n">
        <v>3074.2</v>
      </c>
      <c r="F398" s="56" t="n">
        <f aca="false">Valuation!$F$46</f>
        <v>3074.243058</v>
      </c>
      <c r="G398" s="31" t="n">
        <f aca="false">IFERROR(F398-E398,"n/a")</f>
        <v>0.0430579999997462</v>
      </c>
      <c r="H398" s="42" t="n">
        <v>0.050000001</v>
      </c>
      <c r="I398" s="60" t="str">
        <f aca="false">IFERROR(IF(ABS(F398-E398)&lt;=H398,"PASS","FAIL"),"FAIL")</f>
        <v>PASS</v>
      </c>
    </row>
    <row r="399" customFormat="false" ht="15" hidden="false" customHeight="false" outlineLevel="0" collapsed="false">
      <c r="B399" s="61" t="n">
        <v>391</v>
      </c>
      <c r="C399" s="9" t="s">
        <v>1088</v>
      </c>
      <c r="D399" s="9" t="s">
        <v>1116</v>
      </c>
      <c r="E399" s="11" t="n">
        <v>0.447</v>
      </c>
      <c r="F399" s="62" t="n">
        <f aca="false">Valuation!$G$46</f>
        <v>0.447117769416247</v>
      </c>
      <c r="G399" s="31" t="n">
        <f aca="false">IFERROR(F399-E399,"n/a")</f>
        <v>0.00011776941624736</v>
      </c>
      <c r="H399" s="42" t="n">
        <v>0.000500001</v>
      </c>
      <c r="I399" s="60" t="str">
        <f aca="false">IFERROR(IF(ABS(F399-E399)&lt;=H399,"PASS","FAIL"),"FAIL")</f>
        <v>PASS</v>
      </c>
    </row>
    <row r="400" customFormat="false" ht="15" hidden="false" customHeight="false" outlineLevel="0" collapsed="false">
      <c r="B400" s="61" t="n">
        <v>392</v>
      </c>
      <c r="C400" s="9" t="s">
        <v>1088</v>
      </c>
      <c r="D400" s="9" t="s">
        <v>1117</v>
      </c>
      <c r="E400" s="12" t="n">
        <v>124.8</v>
      </c>
      <c r="F400" s="56" t="n">
        <f aca="false">Valuation!$D$47</f>
        <v>124.7992176288</v>
      </c>
      <c r="G400" s="31" t="n">
        <f aca="false">IFERROR(F400-E400,"n/a")</f>
        <v>-0.000782371199974818</v>
      </c>
      <c r="H400" s="42" t="n">
        <v>0.050000001</v>
      </c>
      <c r="I400" s="60" t="str">
        <f aca="false">IFERROR(IF(ABS(F400-E400)&lt;=H400,"PASS","FAIL"),"FAIL")</f>
        <v>PASS</v>
      </c>
    </row>
    <row r="401" customFormat="false" ht="15" hidden="false" customHeight="false" outlineLevel="0" collapsed="false">
      <c r="B401" s="61" t="n">
        <v>393</v>
      </c>
      <c r="C401" s="9" t="s">
        <v>1088</v>
      </c>
      <c r="D401" s="9" t="s">
        <v>1118</v>
      </c>
      <c r="E401" s="12" t="n">
        <v>1996.8</v>
      </c>
      <c r="F401" s="56" t="n">
        <f aca="false">Valuation!$F$47</f>
        <v>1996.7874820608</v>
      </c>
      <c r="G401" s="31" t="n">
        <f aca="false">IFERROR(F401-E401,"n/a")</f>
        <v>-0.0125179391995971</v>
      </c>
      <c r="H401" s="42" t="n">
        <v>0.050000001</v>
      </c>
      <c r="I401" s="60" t="str">
        <f aca="false">IFERROR(IF(ABS(F401-E401)&lt;=H401,"PASS","FAIL"),"FAIL")</f>
        <v>PASS</v>
      </c>
    </row>
    <row r="402" customFormat="false" ht="15" hidden="false" customHeight="false" outlineLevel="0" collapsed="false">
      <c r="B402" s="61" t="n">
        <v>394</v>
      </c>
      <c r="C402" s="9" t="s">
        <v>1088</v>
      </c>
      <c r="D402" s="9" t="s">
        <v>1119</v>
      </c>
      <c r="E402" s="11" t="n">
        <v>0.29</v>
      </c>
      <c r="F402" s="62" t="n">
        <f aca="false">Valuation!$G$47</f>
        <v>0.290412679847811</v>
      </c>
      <c r="G402" s="31" t="n">
        <f aca="false">IFERROR(F402-E402,"n/a")</f>
        <v>0.000412679847811293</v>
      </c>
      <c r="H402" s="42" t="n">
        <v>0.000500001</v>
      </c>
      <c r="I402" s="60" t="str">
        <f aca="false">IFERROR(IF(ABS(F402-E402)&lt;=H402,"PASS","FAIL"),"FAIL")</f>
        <v>PASS</v>
      </c>
    </row>
    <row r="403" customFormat="false" ht="15" hidden="false" customHeight="false" outlineLevel="0" collapsed="false">
      <c r="B403" s="61" t="n">
        <v>395</v>
      </c>
      <c r="C403" s="9" t="s">
        <v>1088</v>
      </c>
      <c r="D403" s="9" t="s">
        <v>1120</v>
      </c>
      <c r="E403" s="12" t="n">
        <v>6875.7</v>
      </c>
      <c r="F403" s="56" t="n">
        <f aca="false">Valuation!$F$48</f>
        <v>6875.6897360928</v>
      </c>
      <c r="G403" s="31" t="n">
        <f aca="false">IFERROR(F403-E403,"n/a")</f>
        <v>-0.0102639071992598</v>
      </c>
      <c r="H403" s="42" t="n">
        <v>0.050000001</v>
      </c>
      <c r="I403" s="60" t="str">
        <f aca="false">IFERROR(IF(ABS(F403-E403)&lt;=H403,"PASS","FAIL"),"FAIL")</f>
        <v>PASS</v>
      </c>
    </row>
    <row r="404" customFormat="false" ht="15" hidden="false" customHeight="false" outlineLevel="0" collapsed="false">
      <c r="B404" s="61" t="n">
        <v>396</v>
      </c>
      <c r="C404" s="9" t="s">
        <v>1088</v>
      </c>
      <c r="D404" s="9" t="s">
        <v>1121</v>
      </c>
      <c r="E404" s="12" t="n">
        <v>-624</v>
      </c>
      <c r="F404" s="56" t="n">
        <f aca="false">Valuation!$F$49</f>
        <v>-624</v>
      </c>
      <c r="G404" s="31" t="n">
        <f aca="false">IFERROR(F404-E404,"n/a")</f>
        <v>0</v>
      </c>
      <c r="H404" s="42" t="n">
        <v>0.050000001</v>
      </c>
      <c r="I404" s="60" t="str">
        <f aca="false">IFERROR(IF(ABS(F404-E404)&lt;=H404,"PASS","FAIL"),"FAIL")</f>
        <v>PASS</v>
      </c>
    </row>
    <row r="405" customFormat="false" ht="15" hidden="false" customHeight="false" outlineLevel="0" collapsed="false">
      <c r="B405" s="61" t="n">
        <v>397</v>
      </c>
      <c r="C405" s="9" t="s">
        <v>1088</v>
      </c>
      <c r="D405" s="9" t="s">
        <v>1122</v>
      </c>
      <c r="E405" s="12" t="n">
        <v>6251.7</v>
      </c>
      <c r="F405" s="56" t="n">
        <f aca="false">Valuation!$D$50</f>
        <v>6251.6897360928</v>
      </c>
      <c r="G405" s="31" t="n">
        <f aca="false">IFERROR(F405-E405,"n/a")</f>
        <v>-0.0102639071992598</v>
      </c>
      <c r="H405" s="42" t="n">
        <v>0.050000001</v>
      </c>
      <c r="I405" s="60" t="str">
        <f aca="false">IFERROR(IF(ABS(F405-E405)&lt;=H405,"PASS","FAIL"),"FAIL")</f>
        <v>PASS</v>
      </c>
    </row>
    <row r="406" customFormat="false" ht="15" hidden="false" customHeight="false" outlineLevel="0" collapsed="false">
      <c r="B406" s="61" t="n">
        <v>398</v>
      </c>
      <c r="C406" s="9" t="s">
        <v>1088</v>
      </c>
      <c r="D406" s="9" t="s">
        <v>1123</v>
      </c>
      <c r="E406" s="12" t="n">
        <v>5245.6</v>
      </c>
      <c r="F406" s="56" t="n">
        <f aca="false">Valuation!$D$51</f>
        <v>5245.5876829728</v>
      </c>
      <c r="G406" s="31" t="n">
        <f aca="false">IFERROR(F406-E406,"n/a")</f>
        <v>-0.0123170271999697</v>
      </c>
      <c r="H406" s="42" t="n">
        <v>0.050000001</v>
      </c>
      <c r="I406" s="60" t="str">
        <f aca="false">IFERROR(IF(ABS(F406-E406)&lt;=H406,"PASS","FAIL"),"FAIL")</f>
        <v>PASS</v>
      </c>
    </row>
    <row r="407" customFormat="false" ht="15" hidden="false" customHeight="false" outlineLevel="0" collapsed="false">
      <c r="B407" s="61" t="n">
        <v>399</v>
      </c>
      <c r="C407" s="9" t="s">
        <v>1088</v>
      </c>
      <c r="D407" s="9" t="s">
        <v>1124</v>
      </c>
      <c r="E407" s="24" t="n">
        <v>96.43</v>
      </c>
      <c r="F407" s="55" t="n">
        <f aca="false">Valuation!$D$52</f>
        <v>96.4262441722941</v>
      </c>
      <c r="G407" s="31" t="n">
        <f aca="false">IFERROR(F407-E407,"n/a")</f>
        <v>-0.00375582770587357</v>
      </c>
      <c r="H407" s="42" t="n">
        <v>0.005000001</v>
      </c>
      <c r="I407" s="60" t="str">
        <f aca="false">IFERROR(IF(ABS(F407-E407)&lt;=H407,"PASS","FAIL"),"FAIL")</f>
        <v>PASS</v>
      </c>
    </row>
    <row r="408" customFormat="false" ht="15" hidden="false" customHeight="false" outlineLevel="0" collapsed="false">
      <c r="B408" s="61" t="n">
        <v>400</v>
      </c>
      <c r="C408" s="9" t="s">
        <v>1088</v>
      </c>
      <c r="D408" s="9" t="s">
        <v>1125</v>
      </c>
      <c r="E408" s="12" t="n">
        <v>15.3</v>
      </c>
      <c r="F408" s="56" t="n">
        <f aca="false">Valuation!$D$53</f>
        <v>15.335908769871</v>
      </c>
      <c r="G408" s="31" t="n">
        <f aca="false">IFERROR(F408-E408,"n/a")</f>
        <v>0.0359087698709999</v>
      </c>
      <c r="H408" s="42" t="n">
        <v>0.050000001</v>
      </c>
      <c r="I408" s="60" t="str">
        <f aca="false">IFERROR(IF(ABS(F408-E408)&lt;=H408,"PASS","FAIL"),"FAIL")</f>
        <v>PASS</v>
      </c>
    </row>
    <row r="409" customFormat="false" ht="15" hidden="false" customHeight="false" outlineLevel="0" collapsed="false">
      <c r="B409" s="61" t="n">
        <v>401</v>
      </c>
      <c r="C409" s="9" t="s">
        <v>1088</v>
      </c>
      <c r="D409" s="9" t="s">
        <v>1126</v>
      </c>
      <c r="E409" s="45" t="n">
        <v>0.0781</v>
      </c>
      <c r="F409" s="65" t="n">
        <f aca="false">Valuation!$D$56</f>
        <v>0.0781</v>
      </c>
      <c r="G409" s="31" t="n">
        <f aca="false">IFERROR(F409-E409,"n/a")</f>
        <v>0</v>
      </c>
      <c r="H409" s="42" t="n">
        <v>5.0001E-005</v>
      </c>
      <c r="I409" s="60" t="str">
        <f aca="false">IFERROR(IF(ABS(F409-E409)&lt;=H409,"PASS","FAIL"),"FAIL")</f>
        <v>PASS</v>
      </c>
    </row>
    <row r="410" customFormat="false" ht="15" hidden="false" customHeight="false" outlineLevel="0" collapsed="false">
      <c r="B410" s="61" t="n">
        <v>402</v>
      </c>
      <c r="C410" s="9" t="s">
        <v>1088</v>
      </c>
      <c r="D410" s="9" t="s">
        <v>341</v>
      </c>
      <c r="E410" s="11" t="n">
        <v>0.191</v>
      </c>
      <c r="F410" s="62" t="n">
        <f aca="false">Valuation!$D$58</f>
        <v>0.190547408279744</v>
      </c>
      <c r="G410" s="31" t="n">
        <f aca="false">IFERROR(F410-E410,"n/a")</f>
        <v>-0.00045259172025594</v>
      </c>
      <c r="H410" s="42" t="n">
        <v>0.000500001</v>
      </c>
      <c r="I410" s="60" t="str">
        <f aca="false">IFERROR(IF(ABS(F410-E410)&lt;=H410,"PASS","FAIL"),"FAIL")</f>
        <v>PASS</v>
      </c>
    </row>
    <row r="411" customFormat="false" ht="15" hidden="false" customHeight="false" outlineLevel="0" collapsed="false">
      <c r="B411" s="61" t="n">
        <v>403</v>
      </c>
      <c r="C411" s="9" t="s">
        <v>1088</v>
      </c>
      <c r="D411" s="9" t="s">
        <v>1127</v>
      </c>
      <c r="E411" s="12" t="n">
        <v>251.7</v>
      </c>
      <c r="F411" s="56" t="n">
        <f aca="false">Valuation!$D$70</f>
        <v>251.74794688</v>
      </c>
      <c r="G411" s="31" t="n">
        <f aca="false">IFERROR(F411-E411,"n/a")</f>
        <v>0.0479468800000689</v>
      </c>
      <c r="H411" s="42" t="n">
        <v>0.050000001</v>
      </c>
      <c r="I411" s="60" t="str">
        <f aca="false">IFERROR(IF(ABS(F411-E411)&lt;=H411,"PASS","FAIL"),"FAIL")</f>
        <v>PASS</v>
      </c>
    </row>
    <row r="412" customFormat="false" ht="15" hidden="false" customHeight="false" outlineLevel="0" collapsed="false">
      <c r="B412" s="61" t="n">
        <v>404</v>
      </c>
      <c r="C412" s="9" t="s">
        <v>1088</v>
      </c>
      <c r="D412" s="9" t="s">
        <v>1128</v>
      </c>
      <c r="E412" s="12" t="n">
        <v>233.5</v>
      </c>
      <c r="F412" s="56" t="n">
        <f aca="false">Valuation!$D$73</f>
        <v>233.510756775809</v>
      </c>
      <c r="G412" s="31" t="n">
        <f aca="false">IFERROR(F412-E412,"n/a")</f>
        <v>0.010756775809341</v>
      </c>
      <c r="H412" s="42" t="n">
        <v>0.050000001</v>
      </c>
      <c r="I412" s="60" t="str">
        <f aca="false">IFERROR(IF(ABS(F412-E412)&lt;=H412,"PASS","FAIL"),"FAIL")</f>
        <v>PASS</v>
      </c>
    </row>
    <row r="413" customFormat="false" ht="15" hidden="false" customHeight="false" outlineLevel="0" collapsed="false">
      <c r="B413" s="61" t="n">
        <v>405</v>
      </c>
      <c r="C413" s="9" t="s">
        <v>1088</v>
      </c>
      <c r="D413" s="9" t="s">
        <v>1129</v>
      </c>
      <c r="E413" s="12" t="n">
        <v>285.9</v>
      </c>
      <c r="F413" s="56" t="n">
        <f aca="false">Valuation!$E$70</f>
        <v>285.902566623216</v>
      </c>
      <c r="G413" s="31" t="n">
        <f aca="false">IFERROR(F413-E413,"n/a")</f>
        <v>0.00256662321601198</v>
      </c>
      <c r="H413" s="42" t="n">
        <v>0.050000001</v>
      </c>
      <c r="I413" s="60" t="str">
        <f aca="false">IFERROR(IF(ABS(F413-E413)&lt;=H413,"PASS","FAIL"),"FAIL")</f>
        <v>PASS</v>
      </c>
    </row>
    <row r="414" customFormat="false" ht="15" hidden="false" customHeight="false" outlineLevel="0" collapsed="false">
      <c r="B414" s="61" t="n">
        <v>406</v>
      </c>
      <c r="C414" s="9" t="s">
        <v>1088</v>
      </c>
      <c r="D414" s="9" t="s">
        <v>1130</v>
      </c>
      <c r="E414" s="12" t="n">
        <v>246</v>
      </c>
      <c r="F414" s="56" t="n">
        <f aca="false">Valuation!$E$73</f>
        <v>245.980093397103</v>
      </c>
      <c r="G414" s="31" t="n">
        <f aca="false">IFERROR(F414-E414,"n/a")</f>
        <v>-0.0199066028973505</v>
      </c>
      <c r="H414" s="42" t="n">
        <v>0.050000001</v>
      </c>
      <c r="I414" s="60" t="str">
        <f aca="false">IFERROR(IF(ABS(F414-E414)&lt;=H414,"PASS","FAIL"),"FAIL")</f>
        <v>PASS</v>
      </c>
    </row>
    <row r="415" customFormat="false" ht="15" hidden="false" customHeight="false" outlineLevel="0" collapsed="false">
      <c r="B415" s="61" t="n">
        <v>407</v>
      </c>
      <c r="C415" s="9" t="s">
        <v>1088</v>
      </c>
      <c r="D415" s="9" t="s">
        <v>1131</v>
      </c>
      <c r="E415" s="12" t="n">
        <v>313.4</v>
      </c>
      <c r="F415" s="56" t="n">
        <f aca="false">Valuation!$F$70</f>
        <v>313.361006549442</v>
      </c>
      <c r="G415" s="31" t="n">
        <f aca="false">IFERROR(F415-E415,"n/a")</f>
        <v>-0.0389934505575411</v>
      </c>
      <c r="H415" s="42" t="n">
        <v>0.050000001</v>
      </c>
      <c r="I415" s="60" t="str">
        <f aca="false">IFERROR(IF(ABS(F415-E415)&lt;=H415,"PASS","FAIL"),"FAIL")</f>
        <v>PASS</v>
      </c>
    </row>
    <row r="416" customFormat="false" ht="15" hidden="false" customHeight="false" outlineLevel="0" collapsed="false">
      <c r="B416" s="61" t="n">
        <v>408</v>
      </c>
      <c r="C416" s="9" t="s">
        <v>1088</v>
      </c>
      <c r="D416" s="9" t="s">
        <v>1132</v>
      </c>
      <c r="E416" s="12" t="n">
        <v>250.1</v>
      </c>
      <c r="F416" s="56" t="n">
        <f aca="false">Valuation!$F$73</f>
        <v>250.073582306545</v>
      </c>
      <c r="G416" s="31" t="n">
        <f aca="false">IFERROR(F416-E416,"n/a")</f>
        <v>-0.0264176934550164</v>
      </c>
      <c r="H416" s="42" t="n">
        <v>0.050000001</v>
      </c>
      <c r="I416" s="60" t="str">
        <f aca="false">IFERROR(IF(ABS(F416-E416)&lt;=H416,"PASS","FAIL"),"FAIL")</f>
        <v>PASS</v>
      </c>
    </row>
    <row r="417" customFormat="false" ht="15" hidden="false" customHeight="false" outlineLevel="0" collapsed="false">
      <c r="B417" s="61" t="n">
        <v>409</v>
      </c>
      <c r="C417" s="9" t="s">
        <v>1088</v>
      </c>
      <c r="D417" s="9" t="s">
        <v>1133</v>
      </c>
      <c r="E417" s="12" t="n">
        <v>334.4</v>
      </c>
      <c r="F417" s="56" t="n">
        <f aca="false">Valuation!$G$70</f>
        <v>334.409075420705</v>
      </c>
      <c r="G417" s="31" t="n">
        <f aca="false">IFERROR(F417-E417,"n/a")</f>
        <v>0.00907542070490308</v>
      </c>
      <c r="H417" s="42" t="n">
        <v>0.050000001</v>
      </c>
      <c r="I417" s="60" t="str">
        <f aca="false">IFERROR(IF(ABS(F417-E417)&lt;=H417,"PASS","FAIL"),"FAIL")</f>
        <v>PASS</v>
      </c>
    </row>
    <row r="418" customFormat="false" ht="15" hidden="false" customHeight="false" outlineLevel="0" collapsed="false">
      <c r="B418" s="61" t="n">
        <v>410</v>
      </c>
      <c r="C418" s="9" t="s">
        <v>1088</v>
      </c>
      <c r="D418" s="9" t="s">
        <v>1134</v>
      </c>
      <c r="E418" s="12" t="n">
        <v>247.5</v>
      </c>
      <c r="F418" s="56" t="n">
        <f aca="false">Valuation!$G$73</f>
        <v>247.537996145731</v>
      </c>
      <c r="G418" s="31" t="n">
        <f aca="false">IFERROR(F418-E418,"n/a")</f>
        <v>0.0379961457312845</v>
      </c>
      <c r="H418" s="42" t="n">
        <v>0.050000001</v>
      </c>
      <c r="I418" s="60" t="str">
        <f aca="false">IFERROR(IF(ABS(F418-E418)&lt;=H418,"PASS","FAIL"),"FAIL")</f>
        <v>PASS</v>
      </c>
    </row>
    <row r="419" customFormat="false" ht="15" hidden="false" customHeight="false" outlineLevel="0" collapsed="false">
      <c r="B419" s="61" t="n">
        <v>411</v>
      </c>
      <c r="C419" s="9" t="s">
        <v>1088</v>
      </c>
      <c r="D419" s="9" t="s">
        <v>1135</v>
      </c>
      <c r="E419" s="12" t="n">
        <v>351.4</v>
      </c>
      <c r="F419" s="56" t="n">
        <f aca="false">Valuation!$H$70</f>
        <v>351.431854143692</v>
      </c>
      <c r="G419" s="31" t="n">
        <f aca="false">IFERROR(F419-E419,"n/a")</f>
        <v>0.0318541436915893</v>
      </c>
      <c r="H419" s="42" t="n">
        <v>0.050000001</v>
      </c>
      <c r="I419" s="60" t="str">
        <f aca="false">IFERROR(IF(ABS(F419-E419)&lt;=H419,"PASS","FAIL"),"FAIL")</f>
        <v>PASS</v>
      </c>
    </row>
    <row r="420" customFormat="false" ht="15" hidden="false" customHeight="false" outlineLevel="0" collapsed="false">
      <c r="B420" s="61" t="n">
        <v>412</v>
      </c>
      <c r="C420" s="9" t="s">
        <v>1088</v>
      </c>
      <c r="D420" s="9" t="s">
        <v>1136</v>
      </c>
      <c r="E420" s="12" t="n">
        <v>241.3</v>
      </c>
      <c r="F420" s="56" t="n">
        <f aca="false">Valuation!$H$73</f>
        <v>241.293650380479</v>
      </c>
      <c r="G420" s="31" t="n">
        <f aca="false">IFERROR(F420-E420,"n/a")</f>
        <v>-0.00634961952079038</v>
      </c>
      <c r="H420" s="42" t="n">
        <v>0.050000001</v>
      </c>
      <c r="I420" s="60" t="str">
        <f aca="false">IFERROR(IF(ABS(F420-E420)&lt;=H420,"PASS","FAIL"),"FAIL")</f>
        <v>PASS</v>
      </c>
    </row>
    <row r="421" customFormat="false" ht="15" hidden="false" customHeight="false" outlineLevel="0" collapsed="false">
      <c r="B421" s="61" t="n">
        <v>413</v>
      </c>
      <c r="C421" s="9" t="s">
        <v>1088</v>
      </c>
      <c r="D421" s="9" t="s">
        <v>1137</v>
      </c>
      <c r="E421" s="12" t="n">
        <v>2759.4</v>
      </c>
      <c r="F421" s="56" t="n">
        <f aca="false">Valuation!$G$60</f>
        <v>2759.36538389744</v>
      </c>
      <c r="G421" s="31" t="n">
        <f aca="false">IFERROR(F421-E421,"n/a")</f>
        <v>-0.0346161025559013</v>
      </c>
      <c r="H421" s="42" t="n">
        <v>0.050000001</v>
      </c>
      <c r="I421" s="60" t="str">
        <f aca="false">IFERROR(IF(ABS(F421-E421)&lt;=H421,"PASS","FAIL"),"FAIL")</f>
        <v>PASS</v>
      </c>
    </row>
    <row r="422" customFormat="false" ht="15" hidden="false" customHeight="false" outlineLevel="0" collapsed="false">
      <c r="B422" s="61" t="n">
        <v>414</v>
      </c>
      <c r="C422" s="9" t="s">
        <v>1088</v>
      </c>
      <c r="D422" s="9" t="s">
        <v>1138</v>
      </c>
      <c r="E422" s="12" t="n">
        <v>469.8</v>
      </c>
      <c r="F422" s="56" t="n">
        <f aca="false">Valuation!$G$64</f>
        <v>469.789922398499</v>
      </c>
      <c r="G422" s="31" t="n">
        <f aca="false">IFERROR(F422-E422,"n/a")</f>
        <v>-0.0100776015009956</v>
      </c>
      <c r="H422" s="42" t="n">
        <v>0.050000001</v>
      </c>
      <c r="I422" s="60" t="str">
        <f aca="false">IFERROR(IF(ABS(F422-E422)&lt;=H422,"PASS","FAIL"),"FAIL")</f>
        <v>PASS</v>
      </c>
    </row>
    <row r="423" customFormat="false" ht="15" hidden="false" customHeight="false" outlineLevel="0" collapsed="false">
      <c r="B423" s="61" t="n">
        <v>415</v>
      </c>
      <c r="C423" s="9" t="s">
        <v>1088</v>
      </c>
      <c r="D423" s="9" t="s">
        <v>1139</v>
      </c>
      <c r="E423" s="12" t="n">
        <v>437.8</v>
      </c>
      <c r="F423" s="56" t="n">
        <f aca="false">Valuation!$G$66</f>
        <v>437.789922398499</v>
      </c>
      <c r="G423" s="31" t="n">
        <f aca="false">IFERROR(F423-E423,"n/a")</f>
        <v>-0.0100776015009956</v>
      </c>
      <c r="H423" s="42" t="n">
        <v>0.050000001</v>
      </c>
      <c r="I423" s="60" t="str">
        <f aca="false">IFERROR(IF(ABS(F423-E423)&lt;=H423,"PASS","FAIL"),"FAIL")</f>
        <v>PASS</v>
      </c>
    </row>
    <row r="424" customFormat="false" ht="15" hidden="false" customHeight="false" outlineLevel="0" collapsed="false">
      <c r="B424" s="61" t="n">
        <v>416</v>
      </c>
      <c r="C424" s="9" t="s">
        <v>1088</v>
      </c>
      <c r="D424" s="9" t="s">
        <v>1140</v>
      </c>
      <c r="E424" s="12" t="n">
        <v>2883.5</v>
      </c>
      <c r="F424" s="56" t="n">
        <f aca="false">Valuation!$H$60</f>
        <v>2883.53682617283</v>
      </c>
      <c r="G424" s="31" t="n">
        <f aca="false">IFERROR(F424-E424,"n/a")</f>
        <v>0.0368261728290236</v>
      </c>
      <c r="H424" s="42" t="n">
        <v>0.050000001</v>
      </c>
      <c r="I424" s="60" t="str">
        <f aca="false">IFERROR(IF(ABS(F424-E424)&lt;=H424,"PASS","FAIL"),"FAIL")</f>
        <v>PASS</v>
      </c>
    </row>
    <row r="425" customFormat="false" ht="15" hidden="false" customHeight="false" outlineLevel="0" collapsed="false">
      <c r="B425" s="61" t="n">
        <v>417</v>
      </c>
      <c r="C425" s="9" t="s">
        <v>1088</v>
      </c>
      <c r="D425" s="9" t="s">
        <v>1141</v>
      </c>
      <c r="E425" s="12" t="n">
        <v>491.5</v>
      </c>
      <c r="F425" s="56" t="n">
        <f aca="false">Valuation!$H$64</f>
        <v>491.450468906431</v>
      </c>
      <c r="G425" s="31" t="n">
        <f aca="false">IFERROR(F425-E425,"n/a")</f>
        <v>-0.0495310935685893</v>
      </c>
      <c r="H425" s="42" t="n">
        <v>0.050000001</v>
      </c>
      <c r="I425" s="60" t="str">
        <f aca="false">IFERROR(IF(ABS(F425-E425)&lt;=H425,"PASS","FAIL"),"FAIL")</f>
        <v>PASS</v>
      </c>
    </row>
    <row r="426" customFormat="false" ht="15" hidden="false" customHeight="false" outlineLevel="0" collapsed="false">
      <c r="B426" s="61" t="n">
        <v>418</v>
      </c>
      <c r="C426" s="9" t="s">
        <v>1088</v>
      </c>
      <c r="D426" s="9" t="s">
        <v>1142</v>
      </c>
      <c r="E426" s="12" t="n">
        <v>461.5</v>
      </c>
      <c r="F426" s="56" t="n">
        <f aca="false">Valuation!$H$66</f>
        <v>461.450468906431</v>
      </c>
      <c r="G426" s="31" t="n">
        <f aca="false">IFERROR(F426-E426,"n/a")</f>
        <v>-0.0495310935685893</v>
      </c>
      <c r="H426" s="42" t="n">
        <v>0.050000001</v>
      </c>
      <c r="I426" s="60" t="str">
        <f aca="false">IFERROR(IF(ABS(F426-E426)&lt;=H426,"PASS","FAIL"),"FAIL")</f>
        <v>PASS</v>
      </c>
    </row>
    <row r="427" customFormat="false" ht="15" hidden="false" customHeight="false" outlineLevel="0" collapsed="false">
      <c r="B427" s="61" t="n">
        <v>419</v>
      </c>
      <c r="C427" s="9" t="s">
        <v>1088</v>
      </c>
      <c r="D427" s="9" t="s">
        <v>1143</v>
      </c>
      <c r="E427" s="12" t="n">
        <v>1218.4</v>
      </c>
      <c r="F427" s="56" t="n">
        <f aca="false">Valuation!$D$75</f>
        <v>1218.39607900567</v>
      </c>
      <c r="G427" s="31" t="n">
        <f aca="false">IFERROR(F427-E427,"n/a")</f>
        <v>-0.00392099433247495</v>
      </c>
      <c r="H427" s="42" t="n">
        <v>0.050000001</v>
      </c>
      <c r="I427" s="60" t="str">
        <f aca="false">IFERROR(IF(ABS(F427-E427)&lt;=H427,"PASS","FAIL"),"FAIL")</f>
        <v>PASS</v>
      </c>
    </row>
    <row r="428" customFormat="false" ht="15" hidden="false" customHeight="false" outlineLevel="0" collapsed="false">
      <c r="B428" s="61" t="n">
        <v>420</v>
      </c>
      <c r="C428" s="9" t="s">
        <v>1088</v>
      </c>
      <c r="D428" s="9" t="s">
        <v>1144</v>
      </c>
      <c r="E428" s="12" t="n">
        <v>7525.5</v>
      </c>
      <c r="F428" s="56" t="n">
        <f aca="false">Valuation!$D$76</f>
        <v>7525.46382054059</v>
      </c>
      <c r="G428" s="31" t="n">
        <f aca="false">IFERROR(F428-E428,"n/a")</f>
        <v>-0.0361794594118692</v>
      </c>
      <c r="H428" s="42" t="n">
        <v>0.050000001</v>
      </c>
      <c r="I428" s="60" t="str">
        <f aca="false">IFERROR(IF(ABS(F428-E428)&lt;=H428,"PASS","FAIL"),"FAIL")</f>
        <v>PASS</v>
      </c>
    </row>
    <row r="429" customFormat="false" ht="15" hidden="false" customHeight="false" outlineLevel="0" collapsed="false">
      <c r="B429" s="61" t="n">
        <v>421</v>
      </c>
      <c r="C429" s="9" t="s">
        <v>1088</v>
      </c>
      <c r="D429" s="9" t="s">
        <v>1145</v>
      </c>
      <c r="E429" s="12" t="n">
        <v>5167</v>
      </c>
      <c r="F429" s="56" t="n">
        <f aca="false">Valuation!$D$77</f>
        <v>5166.99500814748</v>
      </c>
      <c r="G429" s="31" t="n">
        <f aca="false">IFERROR(F429-E429,"n/a")</f>
        <v>-0.00499185252465395</v>
      </c>
      <c r="H429" s="42" t="n">
        <v>0.050000001</v>
      </c>
      <c r="I429" s="60" t="str">
        <f aca="false">IFERROR(IF(ABS(F429-E429)&lt;=H429,"PASS","FAIL"),"FAIL")</f>
        <v>PASS</v>
      </c>
    </row>
    <row r="430" customFormat="false" ht="15" hidden="false" customHeight="false" outlineLevel="0" collapsed="false">
      <c r="B430" s="61" t="n">
        <v>422</v>
      </c>
      <c r="C430" s="9" t="s">
        <v>1088</v>
      </c>
      <c r="D430" s="9" t="s">
        <v>1146</v>
      </c>
      <c r="E430" s="12" t="n">
        <v>6385.4</v>
      </c>
      <c r="F430" s="56" t="n">
        <f aca="false">Valuation!$D$78</f>
        <v>6385.39108715314</v>
      </c>
      <c r="G430" s="31" t="n">
        <f aca="false">IFERROR(F430-E430,"n/a")</f>
        <v>-0.0089128468571289</v>
      </c>
      <c r="H430" s="42" t="n">
        <v>0.050000001</v>
      </c>
      <c r="I430" s="60" t="str">
        <f aca="false">IFERROR(IF(ABS(F430-E430)&lt;=H430,"PASS","FAIL"),"FAIL")</f>
        <v>PASS</v>
      </c>
    </row>
    <row r="431" customFormat="false" ht="15" hidden="false" customHeight="false" outlineLevel="0" collapsed="false">
      <c r="B431" s="61" t="n">
        <v>423</v>
      </c>
      <c r="C431" s="9" t="s">
        <v>1088</v>
      </c>
      <c r="D431" s="9" t="s">
        <v>1147</v>
      </c>
      <c r="E431" s="11" t="n">
        <v>0.809</v>
      </c>
      <c r="F431" s="62" t="n">
        <f aca="false">Valuation!$D$79</f>
        <v>0.809190061755657</v>
      </c>
      <c r="G431" s="31" t="n">
        <f aca="false">IFERROR(F431-E431,"n/a")</f>
        <v>0.000190061755657278</v>
      </c>
      <c r="H431" s="42" t="n">
        <v>0.000500001</v>
      </c>
      <c r="I431" s="60" t="str">
        <f aca="false">IFERROR(IF(ABS(F431-E431)&lt;=H431,"PASS","FAIL"),"FAIL")</f>
        <v>PASS</v>
      </c>
    </row>
    <row r="432" customFormat="false" ht="15" hidden="false" customHeight="false" outlineLevel="0" collapsed="false">
      <c r="B432" s="61" t="n">
        <v>424</v>
      </c>
      <c r="C432" s="9" t="s">
        <v>1088</v>
      </c>
      <c r="D432" s="9" t="s">
        <v>1148</v>
      </c>
      <c r="E432" s="12" t="n">
        <v>5285.4</v>
      </c>
      <c r="F432" s="56" t="n">
        <f aca="false">Valuation!$D$81</f>
        <v>5285.39108715314</v>
      </c>
      <c r="G432" s="31" t="n">
        <f aca="false">IFERROR(F432-E432,"n/a")</f>
        <v>-0.0089128468571289</v>
      </c>
      <c r="H432" s="42" t="n">
        <v>0.050000001</v>
      </c>
      <c r="I432" s="60" t="str">
        <f aca="false">IFERROR(IF(ABS(F432-E432)&lt;=H432,"PASS","FAIL"),"FAIL")</f>
        <v>PASS</v>
      </c>
    </row>
    <row r="433" customFormat="false" ht="15" hidden="false" customHeight="false" outlineLevel="0" collapsed="false">
      <c r="B433" s="61" t="n">
        <v>425</v>
      </c>
      <c r="C433" s="9" t="s">
        <v>1088</v>
      </c>
      <c r="D433" s="9" t="s">
        <v>1149</v>
      </c>
      <c r="E433" s="24" t="n">
        <v>95.06</v>
      </c>
      <c r="F433" s="55" t="n">
        <f aca="false">Valuation!$D$83</f>
        <v>95.0609907761357</v>
      </c>
      <c r="G433" s="31" t="n">
        <f aca="false">IFERROR(F433-E433,"n/a")</f>
        <v>0.000990776135651572</v>
      </c>
      <c r="H433" s="42" t="n">
        <v>0.005000001</v>
      </c>
      <c r="I433" s="60" t="str">
        <f aca="false">IFERROR(IF(ABS(F433-E433)&lt;=H433,"PASS","FAIL"),"FAIL")</f>
        <v>PASS</v>
      </c>
    </row>
    <row r="434" customFormat="false" ht="15" hidden="false" customHeight="false" outlineLevel="0" collapsed="false">
      <c r="B434" s="61" t="n">
        <v>426</v>
      </c>
      <c r="C434" s="9" t="s">
        <v>1088</v>
      </c>
      <c r="D434" s="9" t="s">
        <v>1150</v>
      </c>
      <c r="E434" s="24" t="n">
        <v>102.33</v>
      </c>
      <c r="F434" s="55" t="n">
        <f aca="false">Valuation!$D$84</f>
        <v>102.326357964436</v>
      </c>
      <c r="G434" s="31" t="n">
        <f aca="false">IFERROR(F434-E434,"n/a")</f>
        <v>-0.00364203556439691</v>
      </c>
      <c r="H434" s="42" t="n">
        <v>0.005000001</v>
      </c>
      <c r="I434" s="60" t="str">
        <f aca="false">IFERROR(IF(ABS(F434-E434)&lt;=H434,"PASS","FAIL"),"FAIL")</f>
        <v>PASS</v>
      </c>
    </row>
    <row r="435" customFormat="false" ht="15" hidden="false" customHeight="false" outlineLevel="0" collapsed="false">
      <c r="B435" s="61" t="n">
        <v>427</v>
      </c>
      <c r="C435" s="9" t="s">
        <v>1088</v>
      </c>
      <c r="D435" s="9" t="s">
        <v>1151</v>
      </c>
      <c r="E435" s="11" t="n">
        <v>0.025</v>
      </c>
      <c r="F435" s="62" t="n">
        <f aca="false">Valuation!$D$89</f>
        <v>0.0251791450518722</v>
      </c>
      <c r="G435" s="31" t="n">
        <f aca="false">IFERROR(F435-E435,"n/a")</f>
        <v>0.00017914505187221</v>
      </c>
      <c r="H435" s="42" t="n">
        <v>0.000500001</v>
      </c>
      <c r="I435" s="60" t="str">
        <f aca="false">IFERROR(IF(ABS(F435-E435)&lt;=H435,"PASS","FAIL"),"FAIL")</f>
        <v>PASS</v>
      </c>
    </row>
    <row r="436" customFormat="false" ht="15" hidden="false" customHeight="false" outlineLevel="0" collapsed="false">
      <c r="B436" s="61" t="n">
        <v>428</v>
      </c>
      <c r="C436" s="9" t="s">
        <v>1088</v>
      </c>
      <c r="D436" s="9" t="s">
        <v>1152</v>
      </c>
      <c r="E436" s="45" t="n">
        <v>0.0821</v>
      </c>
      <c r="F436" s="65" t="n">
        <f aca="false">Valuation!$D$91</f>
        <v>0.0820560448234007</v>
      </c>
      <c r="G436" s="31" t="n">
        <f aca="false">IFERROR(F436-E436,"n/a")</f>
        <v>-4.39551765993307E-005</v>
      </c>
      <c r="H436" s="42" t="n">
        <v>5.0001E-005</v>
      </c>
      <c r="I436" s="60" t="str">
        <f aca="false">IFERROR(IF(ABS(F436-E436)&lt;=H436,"PASS","FAIL"),"FAIL")</f>
        <v>PASS</v>
      </c>
    </row>
    <row r="437" customFormat="false" ht="15" hidden="false" customHeight="false" outlineLevel="0" collapsed="false">
      <c r="B437" s="61" t="n">
        <v>429</v>
      </c>
      <c r="C437" s="9" t="s">
        <v>1088</v>
      </c>
      <c r="D437" s="9" t="s">
        <v>1153</v>
      </c>
      <c r="E437" s="24" t="n">
        <v>86.2</v>
      </c>
      <c r="F437" s="55" t="n">
        <f aca="false">Valuation!$D$90</f>
        <v>86.2</v>
      </c>
      <c r="G437" s="31" t="n">
        <f aca="false">IFERROR(F437-E437,"n/a")</f>
        <v>0</v>
      </c>
      <c r="H437" s="42" t="n">
        <v>0.005000001</v>
      </c>
      <c r="I437" s="60" t="str">
        <f aca="false">IFERROR(IF(ABS(F437-E437)&lt;=H437,"PASS","FAIL"),"FAIL")</f>
        <v>PASS</v>
      </c>
    </row>
    <row r="438" customFormat="false" ht="15" hidden="false" customHeight="false" outlineLevel="0" collapsed="false">
      <c r="B438" s="61" t="n">
        <v>430</v>
      </c>
      <c r="C438" s="9" t="s">
        <v>1088</v>
      </c>
      <c r="D438" s="9" t="s">
        <v>1154</v>
      </c>
      <c r="E438" s="24" t="n">
        <v>86.2</v>
      </c>
      <c r="F438" s="55" t="n">
        <f aca="false">Valuation!$D$92</f>
        <v>86.2000000000003</v>
      </c>
      <c r="G438" s="31" t="n">
        <f aca="false">IFERROR(F438-E438,"n/a")</f>
        <v>0</v>
      </c>
      <c r="H438" s="42" t="n">
        <v>0.005000001</v>
      </c>
      <c r="I438" s="60" t="str">
        <f aca="false">IFERROR(IF(ABS(F438-E438)&lt;=H438,"PASS","FAIL"),"FAIL")</f>
        <v>PASS</v>
      </c>
    </row>
    <row r="439" customFormat="false" ht="15" hidden="false" customHeight="false" outlineLevel="0" collapsed="false">
      <c r="B439" s="61" t="n">
        <v>431</v>
      </c>
      <c r="C439" s="9" t="s">
        <v>1088</v>
      </c>
      <c r="D439" s="9" t="s">
        <v>1155</v>
      </c>
      <c r="E439" s="24" t="n">
        <v>91.08</v>
      </c>
      <c r="F439" s="55" t="n">
        <f aca="false">Valuation!$D$95</f>
        <v>91.0841268716912</v>
      </c>
      <c r="G439" s="31" t="n">
        <f aca="false">IFERROR(F439-E439,"n/a")</f>
        <v>0.00412687169118442</v>
      </c>
      <c r="H439" s="42" t="n">
        <v>0.005000001</v>
      </c>
      <c r="I439" s="60" t="str">
        <f aca="false">IFERROR(IF(ABS(F439-E439)&lt;=H439,"PASS","FAIL"),"FAIL")</f>
        <v>PASS</v>
      </c>
    </row>
    <row r="440" customFormat="false" ht="15" hidden="false" customHeight="false" outlineLevel="0" collapsed="false">
      <c r="B440" s="61" t="n">
        <v>432</v>
      </c>
      <c r="C440" s="9" t="s">
        <v>1088</v>
      </c>
      <c r="D440" s="9" t="s">
        <v>1156</v>
      </c>
      <c r="E440" s="24" t="n">
        <v>102.33</v>
      </c>
      <c r="F440" s="55" t="n">
        <f aca="false">Valuation!$D$96</f>
        <v>102.326357964436</v>
      </c>
      <c r="G440" s="31" t="n">
        <f aca="false">IFERROR(F440-E440,"n/a")</f>
        <v>-0.00364203556439691</v>
      </c>
      <c r="H440" s="42" t="n">
        <v>0.005000001</v>
      </c>
      <c r="I440" s="60" t="str">
        <f aca="false">IFERROR(IF(ABS(F440-E440)&lt;=H440,"PASS","FAIL"),"FAIL")</f>
        <v>PASS</v>
      </c>
    </row>
    <row r="441" customFormat="false" ht="15" hidden="false" customHeight="false" outlineLevel="0" collapsed="false">
      <c r="B441" s="61" t="n">
        <v>433</v>
      </c>
      <c r="C441" s="9" t="s">
        <v>1088</v>
      </c>
      <c r="D441" s="9" t="s">
        <v>1157</v>
      </c>
      <c r="E441" s="11" t="n">
        <v>0.123</v>
      </c>
      <c r="F441" s="62" t="n">
        <f aca="false">Valuation!$D$97</f>
        <v>0.12342689641831</v>
      </c>
      <c r="G441" s="31" t="n">
        <f aca="false">IFERROR(F441-E441,"n/a")</f>
        <v>0.000426896418309841</v>
      </c>
      <c r="H441" s="42" t="n">
        <v>0.000500001</v>
      </c>
      <c r="I441" s="60" t="str">
        <f aca="false">IFERROR(IF(ABS(F441-E441)&lt;=H441,"PASS","FAIL"),"FAIL")</f>
        <v>PASS</v>
      </c>
    </row>
    <row r="442" customFormat="false" ht="15" hidden="false" customHeight="false" outlineLevel="0" collapsed="false">
      <c r="B442" s="61" t="n">
        <v>434</v>
      </c>
      <c r="C442" s="9" t="s">
        <v>1088</v>
      </c>
      <c r="D442" s="9" t="s">
        <v>374</v>
      </c>
      <c r="E442" s="11" t="n">
        <v>0.049</v>
      </c>
      <c r="F442" s="62" t="n">
        <f aca="false">Valuation!$D$98</f>
        <v>0.0490946496403184</v>
      </c>
      <c r="G442" s="31" t="n">
        <f aca="false">IFERROR(F442-E442,"n/a")</f>
        <v>9.46496403183977E-005</v>
      </c>
      <c r="H442" s="42" t="n">
        <v>0.000500001</v>
      </c>
      <c r="I442" s="60" t="str">
        <f aca="false">IFERROR(IF(ABS(F442-E442)&lt;=H442,"PASS","FAIL"),"FAIL")</f>
        <v>PASS</v>
      </c>
    </row>
    <row r="443" customFormat="false" ht="15" hidden="false" customHeight="false" outlineLevel="0" collapsed="false">
      <c r="B443" s="61" t="n">
        <v>435</v>
      </c>
      <c r="C443" s="9" t="s">
        <v>1088</v>
      </c>
      <c r="D443" s="9" t="s">
        <v>375</v>
      </c>
      <c r="E443" s="11" t="n">
        <v>0.111</v>
      </c>
      <c r="F443" s="62" t="n">
        <f aca="false">Valuation!$D$99</f>
        <v>0.110624433921045</v>
      </c>
      <c r="G443" s="31" t="n">
        <f aca="false">IFERROR(F443-E443,"n/a")</f>
        <v>-0.000375566078954628</v>
      </c>
      <c r="H443" s="42" t="n">
        <v>0.000500001</v>
      </c>
      <c r="I443" s="60" t="str">
        <f aca="false">IFERROR(IF(ABS(F443-E443)&lt;=H443,"PASS","FAIL"),"FAIL")</f>
        <v>PASS</v>
      </c>
    </row>
    <row r="444" customFormat="false" ht="15" hidden="false" customHeight="false" outlineLevel="0" collapsed="false">
      <c r="B444" s="61" t="n">
        <v>436</v>
      </c>
      <c r="C444" s="9" t="s">
        <v>1088</v>
      </c>
      <c r="D444" s="9" t="s">
        <v>1158</v>
      </c>
      <c r="E444" s="12" t="n">
        <v>13.6</v>
      </c>
      <c r="F444" s="56" t="n">
        <f aca="false">Valuation!$D$100</f>
        <v>13.6311365326099</v>
      </c>
      <c r="G444" s="31" t="n">
        <f aca="false">IFERROR(F444-E444,"n/a")</f>
        <v>0.0311365326098869</v>
      </c>
      <c r="H444" s="42" t="n">
        <v>0.050000001</v>
      </c>
      <c r="I444" s="60" t="str">
        <f aca="false">IFERROR(IF(ABS(F444-E444)&lt;=H444,"PASS","FAIL"),"FAIL")</f>
        <v>PASS</v>
      </c>
    </row>
    <row r="445" customFormat="false" ht="15" hidden="false" customHeight="false" outlineLevel="0" collapsed="false">
      <c r="B445" s="61" t="n">
        <v>437</v>
      </c>
      <c r="C445" s="9" t="s">
        <v>171</v>
      </c>
      <c r="D445" s="9" t="s">
        <v>496</v>
      </c>
      <c r="E445" s="11" t="n">
        <v>0.172</v>
      </c>
      <c r="F445" s="62" t="n">
        <f aca="false">Rating!$D$7</f>
        <v>0.17169373549884</v>
      </c>
      <c r="G445" s="31" t="n">
        <f aca="false">IFERROR(F445-E445,"n/a")</f>
        <v>-0.000306264501160058</v>
      </c>
      <c r="H445" s="42" t="n">
        <v>0.000500001</v>
      </c>
      <c r="I445" s="60" t="str">
        <f aca="false">IFERROR(IF(ABS(F445-E445)&lt;=H445,"PASS","FAIL"),"FAIL")</f>
        <v>PASS</v>
      </c>
    </row>
    <row r="446" customFormat="false" ht="15" hidden="false" customHeight="false" outlineLevel="0" collapsed="false">
      <c r="B446" s="61" t="n">
        <v>438</v>
      </c>
      <c r="C446" s="9" t="s">
        <v>171</v>
      </c>
      <c r="D446" s="9" t="s">
        <v>1159</v>
      </c>
      <c r="E446" s="11" t="n">
        <v>0.013</v>
      </c>
      <c r="F446" s="62" t="n">
        <f aca="false">Rating!$D$8</f>
        <v>0.0127610208816705</v>
      </c>
      <c r="G446" s="31" t="n">
        <f aca="false">IFERROR(F446-E446,"n/a")</f>
        <v>-0.000238979118329465</v>
      </c>
      <c r="H446" s="42" t="n">
        <v>0.000500001</v>
      </c>
      <c r="I446" s="60" t="str">
        <f aca="false">IFERROR(IF(ABS(F446-E446)&lt;=H446,"PASS","FAIL"),"FAIL")</f>
        <v>PASS</v>
      </c>
    </row>
    <row r="447" customFormat="false" ht="15" hidden="false" customHeight="false" outlineLevel="0" collapsed="false">
      <c r="B447" s="61" t="n">
        <v>439</v>
      </c>
      <c r="C447" s="9" t="s">
        <v>171</v>
      </c>
      <c r="D447" s="9" t="s">
        <v>1160</v>
      </c>
      <c r="E447" s="11" t="n">
        <v>0.184</v>
      </c>
      <c r="F447" s="62" t="n">
        <f aca="false">Rating!$D$9</f>
        <v>0.18445475638051</v>
      </c>
      <c r="G447" s="31" t="n">
        <f aca="false">IFERROR(F447-E447,"n/a")</f>
        <v>0.000454756380510457</v>
      </c>
      <c r="H447" s="42" t="n">
        <v>0.000500001</v>
      </c>
      <c r="I447" s="60" t="str">
        <f aca="false">IFERROR(IF(ABS(F447-E447)&lt;=H447,"PASS","FAIL"),"FAIL")</f>
        <v>PASS</v>
      </c>
    </row>
    <row r="448" customFormat="false" ht="15" hidden="false" customHeight="false" outlineLevel="0" collapsed="false">
      <c r="B448" s="61" t="n">
        <v>440</v>
      </c>
      <c r="C448" s="9" t="s">
        <v>171</v>
      </c>
      <c r="D448" s="9" t="s">
        <v>1161</v>
      </c>
      <c r="E448" s="66" t="s">
        <v>177</v>
      </c>
      <c r="F448" s="67" t="str">
        <f aca="false">Rating!$D$10</f>
        <v>Buy</v>
      </c>
      <c r="G448" s="9"/>
      <c r="H448" s="9"/>
      <c r="I448" s="60" t="str">
        <f aca="false">IFERROR(IF(EXACT(F448,E448),"PASS","FAIL"),"FAIL")</f>
        <v>PASS</v>
      </c>
    </row>
    <row r="449" customFormat="false" ht="15" hidden="false" customHeight="false" outlineLevel="0" collapsed="false">
      <c r="B449" s="61" t="n">
        <v>441</v>
      </c>
      <c r="C449" s="9" t="s">
        <v>171</v>
      </c>
      <c r="D449" s="9" t="s">
        <v>1162</v>
      </c>
      <c r="E449" s="24" t="n">
        <v>88.78</v>
      </c>
      <c r="F449" s="55" t="n">
        <f aca="false">Rating!$D$11</f>
        <v>88.7826086956522</v>
      </c>
      <c r="G449" s="31" t="n">
        <f aca="false">IFERROR(F449-E449,"n/a")</f>
        <v>0.00260869565217092</v>
      </c>
      <c r="H449" s="42" t="n">
        <v>0.005000001</v>
      </c>
      <c r="I449" s="60" t="str">
        <f aca="false">IFERROR(IF(ABS(F449-E449)&lt;=H449,"PASS","FAIL"),"FAIL")</f>
        <v>PASS</v>
      </c>
    </row>
    <row r="450" customFormat="false" ht="15" hidden="false" customHeight="false" outlineLevel="0" collapsed="false">
      <c r="B450" s="61" t="n">
        <v>442</v>
      </c>
      <c r="C450" s="9" t="s">
        <v>171</v>
      </c>
      <c r="D450" s="9" t="s">
        <v>500</v>
      </c>
      <c r="E450" s="11" t="n">
        <v>0.03</v>
      </c>
      <c r="F450" s="62" t="n">
        <f aca="false">Rating!$D$12</f>
        <v>0.0299606577221829</v>
      </c>
      <c r="G450" s="31" t="n">
        <f aca="false">IFERROR(F450-E450,"n/a")</f>
        <v>-3.93422778170727E-005</v>
      </c>
      <c r="H450" s="42" t="n">
        <v>0.000500001</v>
      </c>
      <c r="I450" s="60" t="str">
        <f aca="false">IFERROR(IF(ABS(F450-E450)&lt;=H450,"PASS","FAIL"),"FAIL")</f>
        <v>PASS</v>
      </c>
    </row>
    <row r="451" customFormat="false" ht="15" hidden="false" customHeight="false" outlineLevel="0" collapsed="false">
      <c r="B451" s="61" t="n">
        <v>443</v>
      </c>
      <c r="C451" s="9" t="s">
        <v>171</v>
      </c>
      <c r="D451" s="9" t="s">
        <v>1163</v>
      </c>
      <c r="E451" s="11" t="n">
        <v>0.5</v>
      </c>
      <c r="F451" s="62" t="n">
        <f aca="false">Rating!$E$17</f>
        <v>0.5</v>
      </c>
      <c r="G451" s="31" t="n">
        <f aca="false">IFERROR(F451-E451,"n/a")</f>
        <v>0</v>
      </c>
      <c r="H451" s="42" t="n">
        <v>0.000500001</v>
      </c>
      <c r="I451" s="60" t="str">
        <f aca="false">IFERROR(IF(ABS(F451-E451)&lt;=H451,"PASS","FAIL"),"FAIL")</f>
        <v>PASS</v>
      </c>
    </row>
    <row r="452" customFormat="false" ht="15" hidden="false" customHeight="false" outlineLevel="0" collapsed="false">
      <c r="B452" s="61" t="n">
        <v>444</v>
      </c>
      <c r="C452" s="9" t="s">
        <v>171</v>
      </c>
      <c r="D452" s="9" t="s">
        <v>1164</v>
      </c>
      <c r="E452" s="11" t="n">
        <v>0.429</v>
      </c>
      <c r="F452" s="62" t="n">
        <f aca="false">Rating!$E$18</f>
        <v>0.428571428571429</v>
      </c>
      <c r="G452" s="31" t="n">
        <f aca="false">IFERROR(F452-E452,"n/a")</f>
        <v>-0.000428571428571445</v>
      </c>
      <c r="H452" s="42" t="n">
        <v>0.000500001</v>
      </c>
      <c r="I452" s="60" t="str">
        <f aca="false">IFERROR(IF(ABS(F452-E452)&lt;=H452,"PASS","FAIL"),"FAIL")</f>
        <v>PASS</v>
      </c>
    </row>
    <row r="453" customFormat="false" ht="15" hidden="false" customHeight="false" outlineLevel="0" collapsed="false">
      <c r="B453" s="61" t="n">
        <v>445</v>
      </c>
      <c r="C453" s="9" t="s">
        <v>171</v>
      </c>
      <c r="D453" s="9" t="s">
        <v>1165</v>
      </c>
      <c r="E453" s="11" t="n">
        <v>0.071</v>
      </c>
      <c r="F453" s="62" t="n">
        <f aca="false">Rating!$E$19</f>
        <v>0.0714285714285714</v>
      </c>
      <c r="G453" s="31" t="n">
        <f aca="false">IFERROR(F453-E453,"n/a")</f>
        <v>0.000428571428571431</v>
      </c>
      <c r="H453" s="42" t="n">
        <v>0.000500001</v>
      </c>
      <c r="I453" s="60" t="str">
        <f aca="false">IFERROR(IF(ABS(F453-E453)&lt;=H453,"PASS","FAIL"),"FAIL")</f>
        <v>PASS</v>
      </c>
    </row>
    <row r="454" customFormat="false" ht="15" hidden="false" customHeight="false" outlineLevel="0" collapsed="false">
      <c r="B454" s="61" t="n">
        <v>446</v>
      </c>
      <c r="C454" s="9" t="s">
        <v>171</v>
      </c>
      <c r="D454" s="9" t="s">
        <v>1166</v>
      </c>
      <c r="E454" s="11" t="n">
        <v>0.286</v>
      </c>
      <c r="F454" s="62" t="n">
        <f aca="false">Rating!$G$17</f>
        <v>0.285714285714286</v>
      </c>
      <c r="G454" s="31" t="n">
        <f aca="false">IFERROR(F454-E454,"n/a")</f>
        <v>-0.000285714285714278</v>
      </c>
      <c r="H454" s="42" t="n">
        <v>0.000500001</v>
      </c>
      <c r="I454" s="60" t="str">
        <f aca="false">IFERROR(IF(ABS(F454-E454)&lt;=H454,"PASS","FAIL"),"FAIL")</f>
        <v>PASS</v>
      </c>
    </row>
    <row r="455" customFormat="false" ht="15" hidden="false" customHeight="false" outlineLevel="0" collapsed="false">
      <c r="B455" s="61" t="n">
        <v>447</v>
      </c>
      <c r="C455" s="9" t="s">
        <v>171</v>
      </c>
      <c r="D455" s="9" t="s">
        <v>1167</v>
      </c>
      <c r="E455" s="11" t="n">
        <v>0.167</v>
      </c>
      <c r="F455" s="62" t="n">
        <f aca="false">Rating!$G$18</f>
        <v>0.166666666666667</v>
      </c>
      <c r="G455" s="31" t="n">
        <f aca="false">IFERROR(F455-E455,"n/a")</f>
        <v>-0.000333333333333352</v>
      </c>
      <c r="H455" s="42" t="n">
        <v>0.000500001</v>
      </c>
      <c r="I455" s="60" t="str">
        <f aca="false">IFERROR(IF(ABS(F455-E455)&lt;=H455,"PASS","FAIL"),"FAIL")</f>
        <v>PASS</v>
      </c>
    </row>
    <row r="456" customFormat="false" ht="15" hidden="false" customHeight="false" outlineLevel="0" collapsed="false">
      <c r="B456" s="61" t="n">
        <v>448</v>
      </c>
      <c r="C456" s="9" t="s">
        <v>171</v>
      </c>
      <c r="D456" s="9" t="s">
        <v>1168</v>
      </c>
      <c r="E456" s="64" t="n">
        <v>14</v>
      </c>
      <c r="F456" s="34" t="n">
        <f aca="false">Rating!$D$20</f>
        <v>14</v>
      </c>
      <c r="G456" s="31" t="n">
        <f aca="false">IFERROR(F456-E456,"n/a")</f>
        <v>0</v>
      </c>
      <c r="H456" s="42" t="n">
        <v>0.500000001</v>
      </c>
      <c r="I456" s="60" t="str">
        <f aca="false">IFERROR(IF(ABS(F456-E456)&lt;=H456,"PASS","FAIL"),"FAIL")</f>
        <v>PASS</v>
      </c>
    </row>
    <row r="457" customFormat="false" ht="15" hidden="false" customHeight="false" outlineLevel="0" collapsed="false">
      <c r="B457" s="61" t="n">
        <v>449</v>
      </c>
      <c r="C457" s="9" t="s">
        <v>1169</v>
      </c>
      <c r="D457" s="9" t="s">
        <v>1170</v>
      </c>
      <c r="E457" s="24" t="n">
        <v>77.39</v>
      </c>
      <c r="F457" s="55" t="n">
        <f aca="false">Sensitivity!$D$24</f>
        <v>77.3875964872395</v>
      </c>
      <c r="G457" s="31" t="n">
        <f aca="false">IFERROR(F457-E457,"n/a")</f>
        <v>-0.00240351276049466</v>
      </c>
      <c r="H457" s="42" t="n">
        <v>0.005000001</v>
      </c>
      <c r="I457" s="60" t="str">
        <f aca="false">IFERROR(IF(ABS(F457-E457)&lt;=H457,"PASS","FAIL"),"FAIL")</f>
        <v>PASS</v>
      </c>
    </row>
    <row r="458" customFormat="false" ht="15" hidden="false" customHeight="false" outlineLevel="0" collapsed="false">
      <c r="B458" s="61" t="n">
        <v>450</v>
      </c>
      <c r="C458" s="9" t="s">
        <v>1169</v>
      </c>
      <c r="D458" s="9" t="s">
        <v>1171</v>
      </c>
      <c r="E458" s="24" t="n">
        <v>81.69</v>
      </c>
      <c r="F458" s="55" t="n">
        <f aca="false">Sensitivity!$E$24</f>
        <v>81.6869074031973</v>
      </c>
      <c r="G458" s="31" t="n">
        <f aca="false">IFERROR(F458-E458,"n/a")</f>
        <v>-0.00309259680274465</v>
      </c>
      <c r="H458" s="42" t="n">
        <v>0.005000001</v>
      </c>
      <c r="I458" s="60" t="str">
        <f aca="false">IFERROR(IF(ABS(F458-E458)&lt;=H458,"PASS","FAIL"),"FAIL")</f>
        <v>PASS</v>
      </c>
    </row>
    <row r="459" customFormat="false" ht="15" hidden="false" customHeight="false" outlineLevel="0" collapsed="false">
      <c r="B459" s="61" t="n">
        <v>451</v>
      </c>
      <c r="C459" s="9" t="s">
        <v>1169</v>
      </c>
      <c r="D459" s="9" t="s">
        <v>1172</v>
      </c>
      <c r="E459" s="24" t="n">
        <v>85.99</v>
      </c>
      <c r="F459" s="55" t="n">
        <f aca="false">Sensitivity!$F$24</f>
        <v>85.986218319155</v>
      </c>
      <c r="G459" s="31" t="n">
        <f aca="false">IFERROR(F459-E459,"n/a")</f>
        <v>-0.00378168084499464</v>
      </c>
      <c r="H459" s="42" t="n">
        <v>0.005000001</v>
      </c>
      <c r="I459" s="60" t="str">
        <f aca="false">IFERROR(IF(ABS(F459-E459)&lt;=H459,"PASS","FAIL"),"FAIL")</f>
        <v>PASS</v>
      </c>
    </row>
    <row r="460" customFormat="false" ht="15" hidden="false" customHeight="false" outlineLevel="0" collapsed="false">
      <c r="B460" s="61" t="n">
        <v>452</v>
      </c>
      <c r="C460" s="9" t="s">
        <v>1169</v>
      </c>
      <c r="D460" s="9" t="s">
        <v>1173</v>
      </c>
      <c r="E460" s="24" t="n">
        <v>90.29</v>
      </c>
      <c r="F460" s="55" t="n">
        <f aca="false">Sensitivity!$G$24</f>
        <v>90.2855292351128</v>
      </c>
      <c r="G460" s="31" t="n">
        <f aca="false">IFERROR(F460-E460,"n/a")</f>
        <v>-0.00447076488725884</v>
      </c>
      <c r="H460" s="42" t="n">
        <v>0.005000001</v>
      </c>
      <c r="I460" s="60" t="str">
        <f aca="false">IFERROR(IF(ABS(F460-E460)&lt;=H460,"PASS","FAIL"),"FAIL")</f>
        <v>PASS</v>
      </c>
    </row>
    <row r="461" customFormat="false" ht="15" hidden="false" customHeight="false" outlineLevel="0" collapsed="false">
      <c r="B461" s="61" t="n">
        <v>453</v>
      </c>
      <c r="C461" s="9" t="s">
        <v>1169</v>
      </c>
      <c r="D461" s="9" t="s">
        <v>1174</v>
      </c>
      <c r="E461" s="24" t="n">
        <v>94.58</v>
      </c>
      <c r="F461" s="55" t="n">
        <f aca="false">Sensitivity!$H$24</f>
        <v>94.5848401510705</v>
      </c>
      <c r="G461" s="31" t="n">
        <f aca="false">IFERROR(F461-E461,"n/a")</f>
        <v>0.0048401510705105</v>
      </c>
      <c r="H461" s="42" t="n">
        <v>0.005000001</v>
      </c>
      <c r="I461" s="60" t="str">
        <f aca="false">IFERROR(IF(ABS(F461-E461)&lt;=H461,"PASS","FAIL"),"FAIL")</f>
        <v>PASS</v>
      </c>
    </row>
    <row r="462" customFormat="false" ht="15" hidden="false" customHeight="false" outlineLevel="0" collapsed="false">
      <c r="B462" s="61" t="n">
        <v>454</v>
      </c>
      <c r="C462" s="9" t="s">
        <v>1169</v>
      </c>
      <c r="D462" s="9" t="s">
        <v>1175</v>
      </c>
      <c r="E462" s="24" t="n">
        <v>81.94</v>
      </c>
      <c r="F462" s="55" t="n">
        <f aca="false">Sensitivity!$D$25</f>
        <v>81.9398080453124</v>
      </c>
      <c r="G462" s="31" t="n">
        <f aca="false">IFERROR(F462-E462,"n/a")</f>
        <v>-0.00019195468759392</v>
      </c>
      <c r="H462" s="42" t="n">
        <v>0.005000001</v>
      </c>
      <c r="I462" s="60" t="str">
        <f aca="false">IFERROR(IF(ABS(F462-E462)&lt;=H462,"PASS","FAIL"),"FAIL")</f>
        <v>PASS</v>
      </c>
    </row>
    <row r="463" customFormat="false" ht="15" hidden="false" customHeight="false" outlineLevel="0" collapsed="false">
      <c r="B463" s="61" t="n">
        <v>455</v>
      </c>
      <c r="C463" s="9" t="s">
        <v>1169</v>
      </c>
      <c r="D463" s="9" t="s">
        <v>1176</v>
      </c>
      <c r="E463" s="24" t="n">
        <v>86.49</v>
      </c>
      <c r="F463" s="55" t="n">
        <f aca="false">Sensitivity!$E$25</f>
        <v>86.4920196033853</v>
      </c>
      <c r="G463" s="31" t="n">
        <f aca="false">IFERROR(F463-E463,"n/a")</f>
        <v>0.00201960338532103</v>
      </c>
      <c r="H463" s="42" t="n">
        <v>0.005000001</v>
      </c>
      <c r="I463" s="60" t="str">
        <f aca="false">IFERROR(IF(ABS(F463-E463)&lt;=H463,"PASS","FAIL"),"FAIL")</f>
        <v>PASS</v>
      </c>
    </row>
    <row r="464" customFormat="false" ht="15" hidden="false" customHeight="false" outlineLevel="0" collapsed="false">
      <c r="B464" s="61" t="n">
        <v>456</v>
      </c>
      <c r="C464" s="9" t="s">
        <v>1169</v>
      </c>
      <c r="D464" s="9" t="s">
        <v>1177</v>
      </c>
      <c r="E464" s="24" t="n">
        <v>91.04</v>
      </c>
      <c r="F464" s="55" t="n">
        <f aca="false">Sensitivity!$F$25</f>
        <v>91.0442311614582</v>
      </c>
      <c r="G464" s="31" t="n">
        <f aca="false">IFERROR(F464-E464,"n/a")</f>
        <v>0.00423116145822178</v>
      </c>
      <c r="H464" s="42" t="n">
        <v>0.005000001</v>
      </c>
      <c r="I464" s="60" t="str">
        <f aca="false">IFERROR(IF(ABS(F464-E464)&lt;=H464,"PASS","FAIL"),"FAIL")</f>
        <v>PASS</v>
      </c>
    </row>
    <row r="465" customFormat="false" ht="15" hidden="false" customHeight="false" outlineLevel="0" collapsed="false">
      <c r="B465" s="61" t="n">
        <v>457</v>
      </c>
      <c r="C465" s="9" t="s">
        <v>1169</v>
      </c>
      <c r="D465" s="9" t="s">
        <v>1178</v>
      </c>
      <c r="E465" s="24" t="n">
        <v>95.6</v>
      </c>
      <c r="F465" s="55" t="n">
        <f aca="false">Sensitivity!$G$25</f>
        <v>95.5964427195311</v>
      </c>
      <c r="G465" s="31" t="n">
        <f aca="false">IFERROR(F465-E465,"n/a")</f>
        <v>-0.00355728046885417</v>
      </c>
      <c r="H465" s="42" t="n">
        <v>0.005000001</v>
      </c>
      <c r="I465" s="60" t="str">
        <f aca="false">IFERROR(IF(ABS(F465-E465)&lt;=H465,"PASS","FAIL"),"FAIL")</f>
        <v>PASS</v>
      </c>
    </row>
    <row r="466" customFormat="false" ht="15" hidden="false" customHeight="false" outlineLevel="0" collapsed="false">
      <c r="B466" s="61" t="n">
        <v>458</v>
      </c>
      <c r="C466" s="9" t="s">
        <v>1169</v>
      </c>
      <c r="D466" s="9" t="s">
        <v>1179</v>
      </c>
      <c r="E466" s="24" t="n">
        <v>100.15</v>
      </c>
      <c r="F466" s="55" t="n">
        <f aca="false">Sensitivity!$H$25</f>
        <v>100.148654277604</v>
      </c>
      <c r="G466" s="31" t="n">
        <f aca="false">IFERROR(F466-E466,"n/a")</f>
        <v>-0.00134572239595343</v>
      </c>
      <c r="H466" s="42" t="n">
        <v>0.005000001</v>
      </c>
      <c r="I466" s="60" t="str">
        <f aca="false">IFERROR(IF(ABS(F466-E466)&lt;=H466,"PASS","FAIL"),"FAIL")</f>
        <v>PASS</v>
      </c>
    </row>
    <row r="467" customFormat="false" ht="15" hidden="false" customHeight="false" outlineLevel="0" collapsed="false">
      <c r="B467" s="61" t="n">
        <v>459</v>
      </c>
      <c r="C467" s="9" t="s">
        <v>1169</v>
      </c>
      <c r="D467" s="9" t="s">
        <v>1180</v>
      </c>
      <c r="E467" s="24" t="n">
        <v>86.49</v>
      </c>
      <c r="F467" s="55" t="n">
        <f aca="false">Sensitivity!$D$26</f>
        <v>86.4920196033853</v>
      </c>
      <c r="G467" s="31" t="n">
        <f aca="false">IFERROR(F467-E467,"n/a")</f>
        <v>0.00201960338532103</v>
      </c>
      <c r="H467" s="42" t="n">
        <v>0.005000001</v>
      </c>
      <c r="I467" s="60" t="str">
        <f aca="false">IFERROR(IF(ABS(F467-E467)&lt;=H467,"PASS","FAIL"),"FAIL")</f>
        <v>PASS</v>
      </c>
    </row>
    <row r="468" customFormat="false" ht="15" hidden="false" customHeight="false" outlineLevel="0" collapsed="false">
      <c r="B468" s="61" t="n">
        <v>460</v>
      </c>
      <c r="C468" s="9" t="s">
        <v>1169</v>
      </c>
      <c r="D468" s="9" t="s">
        <v>1181</v>
      </c>
      <c r="E468" s="24" t="n">
        <v>91.3</v>
      </c>
      <c r="F468" s="55" t="n">
        <f aca="false">Sensitivity!$E$26</f>
        <v>91.2971318035734</v>
      </c>
      <c r="G468" s="31" t="n">
        <f aca="false">IFERROR(F468-E468,"n/a")</f>
        <v>-0.0028681964266184</v>
      </c>
      <c r="H468" s="42" t="n">
        <v>0.005000001</v>
      </c>
      <c r="I468" s="60" t="str">
        <f aca="false">IFERROR(IF(ABS(F468-E468)&lt;=H468,"PASS","FAIL"),"FAIL")</f>
        <v>PASS</v>
      </c>
    </row>
    <row r="469" customFormat="false" ht="15" hidden="false" customHeight="false" outlineLevel="0" collapsed="false">
      <c r="B469" s="61" t="n">
        <v>461</v>
      </c>
      <c r="C469" s="9" t="s">
        <v>1169</v>
      </c>
      <c r="D469" s="9" t="s">
        <v>1182</v>
      </c>
      <c r="E469" s="24" t="n">
        <v>96.1</v>
      </c>
      <c r="F469" s="55" t="n">
        <f aca="false">Sensitivity!$F$26</f>
        <v>96.1022440037615</v>
      </c>
      <c r="G469" s="31" t="n">
        <f aca="false">IFERROR(F469-E469,"n/a")</f>
        <v>0.0022440037614615</v>
      </c>
      <c r="H469" s="42" t="n">
        <v>0.005000001</v>
      </c>
      <c r="I469" s="60" t="str">
        <f aca="false">IFERROR(IF(ABS(F469-E469)&lt;=H469,"PASS","FAIL"),"FAIL")</f>
        <v>PASS</v>
      </c>
    </row>
    <row r="470" customFormat="false" ht="15" hidden="false" customHeight="false" outlineLevel="0" collapsed="false">
      <c r="B470" s="61" t="n">
        <v>462</v>
      </c>
      <c r="C470" s="9" t="s">
        <v>1169</v>
      </c>
      <c r="D470" s="9" t="s">
        <v>1183</v>
      </c>
      <c r="E470" s="24" t="n">
        <v>100.91</v>
      </c>
      <c r="F470" s="55" t="n">
        <f aca="false">Sensitivity!$G$26</f>
        <v>100.90735620395</v>
      </c>
      <c r="G470" s="31" t="n">
        <f aca="false">IFERROR(F470-E470,"n/a")</f>
        <v>-0.00264379605046372</v>
      </c>
      <c r="H470" s="42" t="n">
        <v>0.005000001</v>
      </c>
      <c r="I470" s="60" t="str">
        <f aca="false">IFERROR(IF(ABS(F470-E470)&lt;=H470,"PASS","FAIL"),"FAIL")</f>
        <v>PASS</v>
      </c>
    </row>
    <row r="471" customFormat="false" ht="15" hidden="false" customHeight="false" outlineLevel="0" collapsed="false">
      <c r="B471" s="61" t="n">
        <v>463</v>
      </c>
      <c r="C471" s="9" t="s">
        <v>1169</v>
      </c>
      <c r="D471" s="9" t="s">
        <v>1184</v>
      </c>
      <c r="E471" s="24" t="n">
        <v>105.71</v>
      </c>
      <c r="F471" s="55" t="n">
        <f aca="false">Sensitivity!$H$26</f>
        <v>105.712468404138</v>
      </c>
      <c r="G471" s="31" t="n">
        <f aca="false">IFERROR(F471-E471,"n/a")</f>
        <v>0.00246840413761618</v>
      </c>
      <c r="H471" s="42" t="n">
        <v>0.005000001</v>
      </c>
      <c r="I471" s="60" t="str">
        <f aca="false">IFERROR(IF(ABS(F471-E471)&lt;=H471,"PASS","FAIL"),"FAIL")</f>
        <v>PASS</v>
      </c>
    </row>
    <row r="472" customFormat="false" ht="15" hidden="false" customHeight="false" outlineLevel="0" collapsed="false">
      <c r="B472" s="61" t="n">
        <v>464</v>
      </c>
      <c r="C472" s="9" t="s">
        <v>1169</v>
      </c>
      <c r="D472" s="9" t="s">
        <v>1185</v>
      </c>
      <c r="E472" s="24" t="n">
        <v>91.04</v>
      </c>
      <c r="F472" s="55" t="n">
        <f aca="false">Sensitivity!$D$27</f>
        <v>91.0442311614582</v>
      </c>
      <c r="G472" s="31" t="n">
        <f aca="false">IFERROR(F472-E472,"n/a")</f>
        <v>0.00423116145822178</v>
      </c>
      <c r="H472" s="42" t="n">
        <v>0.005000001</v>
      </c>
      <c r="I472" s="60" t="str">
        <f aca="false">IFERROR(IF(ABS(F472-E472)&lt;=H472,"PASS","FAIL"),"FAIL")</f>
        <v>PASS</v>
      </c>
    </row>
    <row r="473" customFormat="false" ht="15" hidden="false" customHeight="false" outlineLevel="0" collapsed="false">
      <c r="B473" s="61" t="n">
        <v>465</v>
      </c>
      <c r="C473" s="9" t="s">
        <v>1169</v>
      </c>
      <c r="D473" s="9" t="s">
        <v>1186</v>
      </c>
      <c r="E473" s="24" t="n">
        <v>96.1</v>
      </c>
      <c r="F473" s="55" t="n">
        <f aca="false">Sensitivity!$E$27</f>
        <v>96.1022440037615</v>
      </c>
      <c r="G473" s="31" t="n">
        <f aca="false">IFERROR(F473-E473,"n/a")</f>
        <v>0.0022440037614615</v>
      </c>
      <c r="H473" s="42" t="n">
        <v>0.005000001</v>
      </c>
      <c r="I473" s="60" t="str">
        <f aca="false">IFERROR(IF(ABS(F473-E473)&lt;=H473,"PASS","FAIL"),"FAIL")</f>
        <v>PASS</v>
      </c>
    </row>
    <row r="474" customFormat="false" ht="15" hidden="false" customHeight="false" outlineLevel="0" collapsed="false">
      <c r="B474" s="61" t="n">
        <v>466</v>
      </c>
      <c r="C474" s="9" t="s">
        <v>1169</v>
      </c>
      <c r="D474" s="9" t="s">
        <v>1187</v>
      </c>
      <c r="E474" s="24" t="n">
        <v>101.16</v>
      </c>
      <c r="F474" s="55" t="n">
        <f aca="false">Sensitivity!$F$27</f>
        <v>101.160256846065</v>
      </c>
      <c r="G474" s="31" t="n">
        <f aca="false">IFERROR(F474-E474,"n/a")</f>
        <v>0.000256846064701222</v>
      </c>
      <c r="H474" s="42" t="n">
        <v>0.005000001</v>
      </c>
      <c r="I474" s="60" t="str">
        <f aca="false">IFERROR(IF(ABS(F474-E474)&lt;=H474,"PASS","FAIL"),"FAIL")</f>
        <v>PASS</v>
      </c>
    </row>
    <row r="475" customFormat="false" ht="15" hidden="false" customHeight="false" outlineLevel="0" collapsed="false">
      <c r="B475" s="61" t="n">
        <v>467</v>
      </c>
      <c r="C475" s="9" t="s">
        <v>1169</v>
      </c>
      <c r="D475" s="9" t="s">
        <v>1188</v>
      </c>
      <c r="E475" s="24" t="n">
        <v>106.22</v>
      </c>
      <c r="F475" s="55" t="n">
        <f aca="false">Sensitivity!$G$27</f>
        <v>106.218269688368</v>
      </c>
      <c r="G475" s="31" t="n">
        <f aca="false">IFERROR(F475-E475,"n/a")</f>
        <v>-0.00173031163205906</v>
      </c>
      <c r="H475" s="42" t="n">
        <v>0.005000001</v>
      </c>
      <c r="I475" s="60" t="str">
        <f aca="false">IFERROR(IF(ABS(F475-E475)&lt;=H475,"PASS","FAIL"),"FAIL")</f>
        <v>PASS</v>
      </c>
    </row>
    <row r="476" customFormat="false" ht="15" hidden="false" customHeight="false" outlineLevel="0" collapsed="false">
      <c r="B476" s="61" t="n">
        <v>468</v>
      </c>
      <c r="C476" s="9" t="s">
        <v>1169</v>
      </c>
      <c r="D476" s="9" t="s">
        <v>1189</v>
      </c>
      <c r="E476" s="24" t="n">
        <v>111.28</v>
      </c>
      <c r="F476" s="55" t="n">
        <f aca="false">Sensitivity!$H$27</f>
        <v>111.276282530671</v>
      </c>
      <c r="G476" s="31" t="n">
        <f aca="false">IFERROR(F476-E476,"n/a")</f>
        <v>-0.00371746932881933</v>
      </c>
      <c r="H476" s="42" t="n">
        <v>0.005000001</v>
      </c>
      <c r="I476" s="60" t="str">
        <f aca="false">IFERROR(IF(ABS(F476-E476)&lt;=H476,"PASS","FAIL"),"FAIL")</f>
        <v>PASS</v>
      </c>
    </row>
    <row r="477" customFormat="false" ht="15" hidden="false" customHeight="false" outlineLevel="0" collapsed="false">
      <c r="B477" s="61" t="n">
        <v>469</v>
      </c>
      <c r="C477" s="9" t="s">
        <v>1169</v>
      </c>
      <c r="D477" s="9" t="s">
        <v>1190</v>
      </c>
      <c r="E477" s="24" t="n">
        <v>95.6</v>
      </c>
      <c r="F477" s="55" t="n">
        <f aca="false">Sensitivity!$D$28</f>
        <v>95.5964427195312</v>
      </c>
      <c r="G477" s="31" t="n">
        <f aca="false">IFERROR(F477-E477,"n/a")</f>
        <v>-0.00355728046883996</v>
      </c>
      <c r="H477" s="42" t="n">
        <v>0.005000001</v>
      </c>
      <c r="I477" s="60" t="str">
        <f aca="false">IFERROR(IF(ABS(F477-E477)&lt;=H477,"PASS","FAIL"),"FAIL")</f>
        <v>PASS</v>
      </c>
    </row>
    <row r="478" customFormat="false" ht="15" hidden="false" customHeight="false" outlineLevel="0" collapsed="false">
      <c r="B478" s="61" t="n">
        <v>470</v>
      </c>
      <c r="C478" s="9" t="s">
        <v>1169</v>
      </c>
      <c r="D478" s="9" t="s">
        <v>1191</v>
      </c>
      <c r="E478" s="24" t="n">
        <v>100.91</v>
      </c>
      <c r="F478" s="55" t="n">
        <f aca="false">Sensitivity!$E$28</f>
        <v>100.90735620395</v>
      </c>
      <c r="G478" s="31" t="n">
        <f aca="false">IFERROR(F478-E478,"n/a")</f>
        <v>-0.00264379605046372</v>
      </c>
      <c r="H478" s="42" t="n">
        <v>0.005000001</v>
      </c>
      <c r="I478" s="60" t="str">
        <f aca="false">IFERROR(IF(ABS(F478-E478)&lt;=H478,"PASS","FAIL"),"FAIL")</f>
        <v>PASS</v>
      </c>
    </row>
    <row r="479" customFormat="false" ht="15" hidden="false" customHeight="false" outlineLevel="0" collapsed="false">
      <c r="B479" s="61" t="n">
        <v>471</v>
      </c>
      <c r="C479" s="9" t="s">
        <v>1169</v>
      </c>
      <c r="D479" s="9" t="s">
        <v>1192</v>
      </c>
      <c r="E479" s="24" t="n">
        <v>106.22</v>
      </c>
      <c r="F479" s="55" t="n">
        <f aca="false">Sensitivity!$F$28</f>
        <v>106.218269688368</v>
      </c>
      <c r="G479" s="31" t="n">
        <f aca="false">IFERROR(F479-E479,"n/a")</f>
        <v>-0.00173031163205906</v>
      </c>
      <c r="H479" s="42" t="n">
        <v>0.005000001</v>
      </c>
      <c r="I479" s="60" t="str">
        <f aca="false">IFERROR(IF(ABS(F479-E479)&lt;=H479,"PASS","FAIL"),"FAIL")</f>
        <v>PASS</v>
      </c>
    </row>
    <row r="480" customFormat="false" ht="15" hidden="false" customHeight="false" outlineLevel="0" collapsed="false">
      <c r="B480" s="61" t="n">
        <v>472</v>
      </c>
      <c r="C480" s="9" t="s">
        <v>1169</v>
      </c>
      <c r="D480" s="9" t="s">
        <v>1193</v>
      </c>
      <c r="E480" s="24" t="n">
        <v>111.53</v>
      </c>
      <c r="F480" s="55" t="n">
        <f aca="false">Sensitivity!$G$28</f>
        <v>111.529183172786</v>
      </c>
      <c r="G480" s="31" t="n">
        <f aca="false">IFERROR(F480-E480,"n/a")</f>
        <v>-0.000816827213654392</v>
      </c>
      <c r="H480" s="42" t="n">
        <v>0.005000001</v>
      </c>
      <c r="I480" s="60" t="str">
        <f aca="false">IFERROR(IF(ABS(F480-E480)&lt;=H480,"PASS","FAIL"),"FAIL")</f>
        <v>PASS</v>
      </c>
    </row>
    <row r="481" customFormat="false" ht="15" hidden="false" customHeight="false" outlineLevel="0" collapsed="false">
      <c r="B481" s="61" t="n">
        <v>473</v>
      </c>
      <c r="C481" s="9" t="s">
        <v>1169</v>
      </c>
      <c r="D481" s="9" t="s">
        <v>1194</v>
      </c>
      <c r="E481" s="24" t="n">
        <v>116.84</v>
      </c>
      <c r="F481" s="55" t="n">
        <f aca="false">Sensitivity!$H$28</f>
        <v>116.840096657205</v>
      </c>
      <c r="G481" s="31" t="n">
        <f aca="false">IFERROR(F481-E481,"n/a")</f>
        <v>9.66572047360614E-005</v>
      </c>
      <c r="H481" s="42" t="n">
        <v>0.005000001</v>
      </c>
      <c r="I481" s="60" t="str">
        <f aca="false">IFERROR(IF(ABS(F481-E481)&lt;=H481,"PASS","FAIL"),"FAIL")</f>
        <v>PASS</v>
      </c>
    </row>
    <row r="482" customFormat="false" ht="15" hidden="false" customHeight="false" outlineLevel="0" collapsed="false">
      <c r="B482" s="61" t="n">
        <v>474</v>
      </c>
      <c r="C482" s="9" t="s">
        <v>1169</v>
      </c>
      <c r="D482" s="9" t="s">
        <v>1195</v>
      </c>
      <c r="E482" s="24" t="n">
        <v>100.15</v>
      </c>
      <c r="F482" s="55" t="n">
        <f aca="false">Sensitivity!$D$29</f>
        <v>100.148654277604</v>
      </c>
      <c r="G482" s="31" t="n">
        <f aca="false">IFERROR(F482-E482,"n/a")</f>
        <v>-0.00134572239595343</v>
      </c>
      <c r="H482" s="42" t="n">
        <v>0.005000001</v>
      </c>
      <c r="I482" s="60" t="str">
        <f aca="false">IFERROR(IF(ABS(F482-E482)&lt;=H482,"PASS","FAIL"),"FAIL")</f>
        <v>PASS</v>
      </c>
    </row>
    <row r="483" customFormat="false" ht="15" hidden="false" customHeight="false" outlineLevel="0" collapsed="false">
      <c r="B483" s="61" t="n">
        <v>475</v>
      </c>
      <c r="C483" s="9" t="s">
        <v>1169</v>
      </c>
      <c r="D483" s="9" t="s">
        <v>1196</v>
      </c>
      <c r="E483" s="24" t="n">
        <v>105.71</v>
      </c>
      <c r="F483" s="55" t="n">
        <f aca="false">Sensitivity!$E$29</f>
        <v>105.712468404138</v>
      </c>
      <c r="G483" s="31" t="n">
        <f aca="false">IFERROR(F483-E483,"n/a")</f>
        <v>0.00246840413761618</v>
      </c>
      <c r="H483" s="42" t="n">
        <v>0.005000001</v>
      </c>
      <c r="I483" s="60" t="str">
        <f aca="false">IFERROR(IF(ABS(F483-E483)&lt;=H483,"PASS","FAIL"),"FAIL")</f>
        <v>PASS</v>
      </c>
    </row>
    <row r="484" customFormat="false" ht="15" hidden="false" customHeight="false" outlineLevel="0" collapsed="false">
      <c r="B484" s="61" t="n">
        <v>476</v>
      </c>
      <c r="C484" s="9" t="s">
        <v>1169</v>
      </c>
      <c r="D484" s="9" t="s">
        <v>1197</v>
      </c>
      <c r="E484" s="24" t="n">
        <v>111.28</v>
      </c>
      <c r="F484" s="55" t="n">
        <f aca="false">Sensitivity!$F$29</f>
        <v>111.276282530671</v>
      </c>
      <c r="G484" s="31" t="n">
        <f aca="false">IFERROR(F484-E484,"n/a")</f>
        <v>-0.00371746932883354</v>
      </c>
      <c r="H484" s="42" t="n">
        <v>0.005000001</v>
      </c>
      <c r="I484" s="60" t="str">
        <f aca="false">IFERROR(IF(ABS(F484-E484)&lt;=H484,"PASS","FAIL"),"FAIL")</f>
        <v>PASS</v>
      </c>
    </row>
    <row r="485" customFormat="false" ht="15" hidden="false" customHeight="false" outlineLevel="0" collapsed="false">
      <c r="B485" s="61" t="n">
        <v>477</v>
      </c>
      <c r="C485" s="9" t="s">
        <v>1169</v>
      </c>
      <c r="D485" s="9" t="s">
        <v>1198</v>
      </c>
      <c r="E485" s="24" t="n">
        <v>116.84</v>
      </c>
      <c r="F485" s="55" t="n">
        <f aca="false">Sensitivity!$G$29</f>
        <v>116.840096657205</v>
      </c>
      <c r="G485" s="31" t="n">
        <f aca="false">IFERROR(F485-E485,"n/a")</f>
        <v>9.66572047218506E-005</v>
      </c>
      <c r="H485" s="42" t="n">
        <v>0.005000001</v>
      </c>
      <c r="I485" s="60" t="str">
        <f aca="false">IFERROR(IF(ABS(F485-E485)&lt;=H485,"PASS","FAIL"),"FAIL")</f>
        <v>PASS</v>
      </c>
    </row>
    <row r="486" customFormat="false" ht="15" hidden="false" customHeight="false" outlineLevel="0" collapsed="false">
      <c r="B486" s="61" t="n">
        <v>478</v>
      </c>
      <c r="C486" s="9" t="s">
        <v>1169</v>
      </c>
      <c r="D486" s="9" t="s">
        <v>1199</v>
      </c>
      <c r="E486" s="24" t="n">
        <v>122.4</v>
      </c>
      <c r="F486" s="55" t="n">
        <f aca="false">Sensitivity!$H$29</f>
        <v>122.403910783738</v>
      </c>
      <c r="G486" s="31" t="n">
        <f aca="false">IFERROR(F486-E486,"n/a")</f>
        <v>0.00391078373829146</v>
      </c>
      <c r="H486" s="42" t="n">
        <v>0.005000001</v>
      </c>
      <c r="I486" s="60" t="str">
        <f aca="false">IFERROR(IF(ABS(F486-E486)&lt;=H486,"PASS","FAIL"),"FAIL")</f>
        <v>PASS</v>
      </c>
    </row>
    <row r="487" customFormat="false" ht="15" hidden="false" customHeight="false" outlineLevel="0" collapsed="false">
      <c r="B487" s="61" t="n">
        <v>479</v>
      </c>
      <c r="C487" s="9" t="s">
        <v>1169</v>
      </c>
      <c r="D487" s="9" t="s">
        <v>1200</v>
      </c>
      <c r="E487" s="24" t="n">
        <v>104.7</v>
      </c>
      <c r="F487" s="55" t="n">
        <f aca="false">Sensitivity!$D$30</f>
        <v>104.700865835677</v>
      </c>
      <c r="G487" s="31" t="n">
        <f aca="false">IFERROR(F487-E487,"n/a")</f>
        <v>0.000865835676961524</v>
      </c>
      <c r="H487" s="42" t="n">
        <v>0.005000001</v>
      </c>
      <c r="I487" s="60" t="str">
        <f aca="false">IFERROR(IF(ABS(F487-E487)&lt;=H487,"PASS","FAIL"),"FAIL")</f>
        <v>PASS</v>
      </c>
    </row>
    <row r="488" customFormat="false" ht="15" hidden="false" customHeight="false" outlineLevel="0" collapsed="false">
      <c r="B488" s="61" t="n">
        <v>480</v>
      </c>
      <c r="C488" s="9" t="s">
        <v>1169</v>
      </c>
      <c r="D488" s="9" t="s">
        <v>1201</v>
      </c>
      <c r="E488" s="24" t="n">
        <v>110.52</v>
      </c>
      <c r="F488" s="55" t="n">
        <f aca="false">Sensitivity!$E$30</f>
        <v>110.517580604326</v>
      </c>
      <c r="G488" s="31" t="n">
        <f aca="false">IFERROR(F488-E488,"n/a")</f>
        <v>-0.00241939567432325</v>
      </c>
      <c r="H488" s="42" t="n">
        <v>0.005000001</v>
      </c>
      <c r="I488" s="60" t="str">
        <f aca="false">IFERROR(IF(ABS(F488-E488)&lt;=H488,"PASS","FAIL"),"FAIL")</f>
        <v>PASS</v>
      </c>
    </row>
    <row r="489" customFormat="false" ht="15" hidden="false" customHeight="false" outlineLevel="0" collapsed="false">
      <c r="B489" s="61" t="n">
        <v>481</v>
      </c>
      <c r="C489" s="9" t="s">
        <v>1169</v>
      </c>
      <c r="D489" s="9" t="s">
        <v>1202</v>
      </c>
      <c r="E489" s="24" t="n">
        <v>116.33</v>
      </c>
      <c r="F489" s="55" t="n">
        <f aca="false">Sensitivity!$F$30</f>
        <v>116.334295372974</v>
      </c>
      <c r="G489" s="31" t="n">
        <f aca="false">IFERROR(F489-E489,"n/a")</f>
        <v>0.00429537297439708</v>
      </c>
      <c r="H489" s="42" t="n">
        <v>0.005000001</v>
      </c>
      <c r="I489" s="60" t="str">
        <f aca="false">IFERROR(IF(ABS(F489-E489)&lt;=H489,"PASS","FAIL"),"FAIL")</f>
        <v>PASS</v>
      </c>
    </row>
    <row r="490" customFormat="false" ht="15" hidden="false" customHeight="false" outlineLevel="0" collapsed="false">
      <c r="B490" s="61" t="n">
        <v>482</v>
      </c>
      <c r="C490" s="9" t="s">
        <v>1169</v>
      </c>
      <c r="D490" s="9" t="s">
        <v>1203</v>
      </c>
      <c r="E490" s="24" t="n">
        <v>122.15</v>
      </c>
      <c r="F490" s="55" t="n">
        <f aca="false">Sensitivity!$G$30</f>
        <v>122.151010141623</v>
      </c>
      <c r="G490" s="31" t="n">
        <f aca="false">IFERROR(F490-E490,"n/a")</f>
        <v>0.0010101416231123</v>
      </c>
      <c r="H490" s="42" t="n">
        <v>0.005000001</v>
      </c>
      <c r="I490" s="60" t="str">
        <f aca="false">IFERROR(IF(ABS(F490-E490)&lt;=H490,"PASS","FAIL"),"FAIL")</f>
        <v>PASS</v>
      </c>
    </row>
    <row r="491" customFormat="false" ht="15" hidden="false" customHeight="false" outlineLevel="0" collapsed="false">
      <c r="B491" s="61" t="n">
        <v>483</v>
      </c>
      <c r="C491" s="9" t="s">
        <v>1169</v>
      </c>
      <c r="D491" s="9" t="s">
        <v>1204</v>
      </c>
      <c r="E491" s="24" t="n">
        <v>127.97</v>
      </c>
      <c r="F491" s="55" t="n">
        <f aca="false">Sensitivity!$H$30</f>
        <v>127.967724910272</v>
      </c>
      <c r="G491" s="31" t="n">
        <f aca="false">IFERROR(F491-E491,"n/a")</f>
        <v>-0.00227508972815826</v>
      </c>
      <c r="H491" s="42" t="n">
        <v>0.005000001</v>
      </c>
      <c r="I491" s="60" t="str">
        <f aca="false">IFERROR(IF(ABS(F491-E491)&lt;=H491,"PASS","FAIL"),"FAIL")</f>
        <v>PASS</v>
      </c>
    </row>
    <row r="492" customFormat="false" ht="15" hidden="false" customHeight="false" outlineLevel="0" collapsed="false">
      <c r="B492" s="61" t="n">
        <v>484</v>
      </c>
      <c r="C492" s="9" t="s">
        <v>1169</v>
      </c>
      <c r="D492" s="9" t="s">
        <v>1205</v>
      </c>
      <c r="E492" s="24" t="n">
        <v>94.57</v>
      </c>
      <c r="F492" s="55" t="n">
        <f aca="false">Sensitivity!$D$34</f>
        <v>94.5688024069061</v>
      </c>
      <c r="G492" s="31" t="n">
        <f aca="false">IFERROR(F492-E492,"n/a")</f>
        <v>-0.00119759309384904</v>
      </c>
      <c r="H492" s="42" t="n">
        <v>0.005000001</v>
      </c>
      <c r="I492" s="60" t="str">
        <f aca="false">IFERROR(IF(ABS(F492-E492)&lt;=H492,"PASS","FAIL"),"FAIL")</f>
        <v>PASS</v>
      </c>
    </row>
    <row r="493" customFormat="false" ht="15" hidden="false" customHeight="false" outlineLevel="0" collapsed="false">
      <c r="B493" s="61" t="n">
        <v>485</v>
      </c>
      <c r="C493" s="9" t="s">
        <v>1169</v>
      </c>
      <c r="D493" s="9" t="s">
        <v>1206</v>
      </c>
      <c r="E493" s="24" t="n">
        <v>105.28</v>
      </c>
      <c r="F493" s="55" t="n">
        <f aca="false">Sensitivity!$E$34</f>
        <v>105.284457038689</v>
      </c>
      <c r="G493" s="31" t="n">
        <f aca="false">IFERROR(F493-E493,"n/a")</f>
        <v>0.00445703868894043</v>
      </c>
      <c r="H493" s="42" t="n">
        <v>0.005000001</v>
      </c>
      <c r="I493" s="60" t="str">
        <f aca="false">IFERROR(IF(ABS(F493-E493)&lt;=H493,"PASS","FAIL"),"FAIL")</f>
        <v>PASS</v>
      </c>
    </row>
    <row r="494" customFormat="false" ht="15" hidden="false" customHeight="false" outlineLevel="0" collapsed="false">
      <c r="B494" s="61" t="n">
        <v>486</v>
      </c>
      <c r="C494" s="9" t="s">
        <v>1169</v>
      </c>
      <c r="D494" s="9" t="s">
        <v>1207</v>
      </c>
      <c r="E494" s="24" t="n">
        <v>118.68</v>
      </c>
      <c r="F494" s="55" t="n">
        <f aca="false">Sensitivity!$F$34</f>
        <v>118.679025328417</v>
      </c>
      <c r="G494" s="31" t="n">
        <f aca="false">IFERROR(F494-E494,"n/a")</f>
        <v>-0.000974671582525843</v>
      </c>
      <c r="H494" s="42" t="n">
        <v>0.005000001</v>
      </c>
      <c r="I494" s="60" t="str">
        <f aca="false">IFERROR(IF(ABS(F494-E494)&lt;=H494,"PASS","FAIL"),"FAIL")</f>
        <v>PASS</v>
      </c>
    </row>
    <row r="495" customFormat="false" ht="15" hidden="false" customHeight="false" outlineLevel="0" collapsed="false">
      <c r="B495" s="61" t="n">
        <v>487</v>
      </c>
      <c r="C495" s="9" t="s">
        <v>1169</v>
      </c>
      <c r="D495" s="9" t="s">
        <v>1208</v>
      </c>
      <c r="E495" s="24" t="n">
        <v>135.9</v>
      </c>
      <c r="F495" s="55" t="n">
        <f aca="false">Sensitivity!$G$34</f>
        <v>135.900613129497</v>
      </c>
      <c r="G495" s="31" t="n">
        <f aca="false">IFERROR(F495-E495,"n/a")</f>
        <v>0.000613129497054388</v>
      </c>
      <c r="H495" s="42" t="n">
        <v>0.005000001</v>
      </c>
      <c r="I495" s="60" t="str">
        <f aca="false">IFERROR(IF(ABS(F495-E495)&lt;=H495,"PASS","FAIL"),"FAIL")</f>
        <v>PASS</v>
      </c>
    </row>
    <row r="496" customFormat="false" ht="15" hidden="false" customHeight="false" outlineLevel="0" collapsed="false">
      <c r="B496" s="61" t="n">
        <v>488</v>
      </c>
      <c r="C496" s="9" t="s">
        <v>1169</v>
      </c>
      <c r="D496" s="9" t="s">
        <v>1209</v>
      </c>
      <c r="E496" s="24" t="n">
        <v>158.86</v>
      </c>
      <c r="F496" s="55" t="n">
        <f aca="false">Sensitivity!$H$34</f>
        <v>158.862730197603</v>
      </c>
      <c r="G496" s="31" t="n">
        <f aca="false">IFERROR(F496-E496,"n/a")</f>
        <v>0.00273019760311399</v>
      </c>
      <c r="H496" s="42" t="n">
        <v>0.005000001</v>
      </c>
      <c r="I496" s="60" t="str">
        <f aca="false">IFERROR(IF(ABS(F496-E496)&lt;=H496,"PASS","FAIL"),"FAIL")</f>
        <v>PASS</v>
      </c>
    </row>
    <row r="497" customFormat="false" ht="15" hidden="false" customHeight="false" outlineLevel="0" collapsed="false">
      <c r="B497" s="61" t="n">
        <v>489</v>
      </c>
      <c r="C497" s="9" t="s">
        <v>1169</v>
      </c>
      <c r="D497" s="9" t="s">
        <v>1210</v>
      </c>
      <c r="E497" s="24" t="n">
        <v>83.97</v>
      </c>
      <c r="F497" s="55" t="n">
        <f aca="false">Sensitivity!$D$35</f>
        <v>83.9716229512906</v>
      </c>
      <c r="G497" s="31" t="n">
        <f aca="false">IFERROR(F497-E497,"n/a")</f>
        <v>0.00162295129059942</v>
      </c>
      <c r="H497" s="42" t="n">
        <v>0.005000001</v>
      </c>
      <c r="I497" s="60" t="str">
        <f aca="false">IFERROR(IF(ABS(F497-E497)&lt;=H497,"PASS","FAIL"),"FAIL")</f>
        <v>PASS</v>
      </c>
    </row>
    <row r="498" customFormat="false" ht="15" hidden="false" customHeight="false" outlineLevel="0" collapsed="false">
      <c r="B498" s="61" t="n">
        <v>490</v>
      </c>
      <c r="C498" s="9" t="s">
        <v>1169</v>
      </c>
      <c r="D498" s="9" t="s">
        <v>1211</v>
      </c>
      <c r="E498" s="24" t="n">
        <v>92.58</v>
      </c>
      <c r="F498" s="55" t="n">
        <f aca="false">Sensitivity!$E$35</f>
        <v>92.5769976590437</v>
      </c>
      <c r="G498" s="31" t="n">
        <f aca="false">IFERROR(F498-E498,"n/a")</f>
        <v>-0.00300234095631424</v>
      </c>
      <c r="H498" s="42" t="n">
        <v>0.005000001</v>
      </c>
      <c r="I498" s="60" t="str">
        <f aca="false">IFERROR(IF(ABS(F498-E498)&lt;=H498,"PASS","FAIL"),"FAIL")</f>
        <v>PASS</v>
      </c>
    </row>
    <row r="499" customFormat="false" ht="15" hidden="false" customHeight="false" outlineLevel="0" collapsed="false">
      <c r="B499" s="61" t="n">
        <v>491</v>
      </c>
      <c r="C499" s="9" t="s">
        <v>1169</v>
      </c>
      <c r="D499" s="9" t="s">
        <v>1212</v>
      </c>
      <c r="E499" s="24" t="n">
        <v>103.09</v>
      </c>
      <c r="F499" s="55" t="n">
        <f aca="false">Sensitivity!$F$35</f>
        <v>103.094677857409</v>
      </c>
      <c r="G499" s="31" t="n">
        <f aca="false">IFERROR(F499-E499,"n/a")</f>
        <v>0.00467785740859483</v>
      </c>
      <c r="H499" s="42" t="n">
        <v>0.005000001</v>
      </c>
      <c r="I499" s="60" t="str">
        <f aca="false">IFERROR(IF(ABS(F499-E499)&lt;=H499,"PASS","FAIL"),"FAIL")</f>
        <v>PASS</v>
      </c>
    </row>
    <row r="500" customFormat="false" ht="15" hidden="false" customHeight="false" outlineLevel="0" collapsed="false">
      <c r="B500" s="61" t="n">
        <v>492</v>
      </c>
      <c r="C500" s="9" t="s">
        <v>1169</v>
      </c>
      <c r="D500" s="9" t="s">
        <v>1213</v>
      </c>
      <c r="E500" s="24" t="n">
        <v>116.24</v>
      </c>
      <c r="F500" s="55" t="n">
        <f aca="false">Sensitivity!$G$35</f>
        <v>116.241778105365</v>
      </c>
      <c r="G500" s="31" t="n">
        <f aca="false">IFERROR(F500-E500,"n/a")</f>
        <v>0.00177810536474965</v>
      </c>
      <c r="H500" s="42" t="n">
        <v>0.005000001</v>
      </c>
      <c r="I500" s="60" t="str">
        <f aca="false">IFERROR(IF(ABS(F500-E500)&lt;=H500,"PASS","FAIL"),"FAIL")</f>
        <v>PASS</v>
      </c>
    </row>
    <row r="501" customFormat="false" ht="15" hidden="false" customHeight="false" outlineLevel="0" collapsed="false">
      <c r="B501" s="61" t="n">
        <v>493</v>
      </c>
      <c r="C501" s="9" t="s">
        <v>1169</v>
      </c>
      <c r="D501" s="9" t="s">
        <v>1214</v>
      </c>
      <c r="E501" s="24" t="n">
        <v>133.15</v>
      </c>
      <c r="F501" s="55" t="n">
        <f aca="false">Sensitivity!$H$35</f>
        <v>133.14519270988</v>
      </c>
      <c r="G501" s="31" t="n">
        <f aca="false">IFERROR(F501-E501,"n/a")</f>
        <v>-0.00480729012025449</v>
      </c>
      <c r="H501" s="42" t="n">
        <v>0.005000001</v>
      </c>
      <c r="I501" s="60" t="str">
        <f aca="false">IFERROR(IF(ABS(F501-E501)&lt;=H501,"PASS","FAIL"),"FAIL")</f>
        <v>PASS</v>
      </c>
    </row>
    <row r="502" customFormat="false" ht="15" hidden="false" customHeight="false" outlineLevel="0" collapsed="false">
      <c r="B502" s="61" t="n">
        <v>494</v>
      </c>
      <c r="C502" s="9" t="s">
        <v>1169</v>
      </c>
      <c r="D502" s="9" t="s">
        <v>1215</v>
      </c>
      <c r="E502" s="24" t="n">
        <v>78.32</v>
      </c>
      <c r="F502" s="55" t="n">
        <f aca="false">Sensitivity!$D$36</f>
        <v>78.3189290290612</v>
      </c>
      <c r="G502" s="31" t="n">
        <f aca="false">IFERROR(F502-E502,"n/a")</f>
        <v>-0.00107097093881237</v>
      </c>
      <c r="H502" s="42" t="n">
        <v>0.005000001</v>
      </c>
      <c r="I502" s="60" t="str">
        <f aca="false">IFERROR(IF(ABS(F502-E502)&lt;=H502,"PASS","FAIL"),"FAIL")</f>
        <v>PASS</v>
      </c>
    </row>
    <row r="503" customFormat="false" ht="15" hidden="false" customHeight="false" outlineLevel="0" collapsed="false">
      <c r="B503" s="61" t="n">
        <v>495</v>
      </c>
      <c r="C503" s="9" t="s">
        <v>1169</v>
      </c>
      <c r="D503" s="9" t="s">
        <v>1216</v>
      </c>
      <c r="E503" s="24" t="n">
        <v>85.9</v>
      </c>
      <c r="F503" s="55" t="n">
        <f aca="false">Sensitivity!$E$36</f>
        <v>85.9017272403068</v>
      </c>
      <c r="G503" s="31" t="n">
        <f aca="false">IFERROR(F503-E503,"n/a")</f>
        <v>0.00172724030677784</v>
      </c>
      <c r="H503" s="42" t="n">
        <v>0.005000001</v>
      </c>
      <c r="I503" s="60" t="str">
        <f aca="false">IFERROR(IF(ABS(F503-E503)&lt;=H503,"PASS","FAIL"),"FAIL")</f>
        <v>PASS</v>
      </c>
    </row>
    <row r="504" customFormat="false" ht="15" hidden="false" customHeight="false" outlineLevel="0" collapsed="false">
      <c r="B504" s="61" t="n">
        <v>496</v>
      </c>
      <c r="C504" s="9" t="s">
        <v>1169</v>
      </c>
      <c r="D504" s="9" t="s">
        <v>1217</v>
      </c>
      <c r="E504" s="24" t="n">
        <v>95.06</v>
      </c>
      <c r="F504" s="55" t="n">
        <f aca="false">Sensitivity!$F$36</f>
        <v>95.0609907761357</v>
      </c>
      <c r="G504" s="31" t="n">
        <f aca="false">IFERROR(F504-E504,"n/a")</f>
        <v>0.000990776135651572</v>
      </c>
      <c r="H504" s="42" t="n">
        <v>0.005000001</v>
      </c>
      <c r="I504" s="60" t="str">
        <f aca="false">IFERROR(IF(ABS(F504-E504)&lt;=H504,"PASS","FAIL"),"FAIL")</f>
        <v>PASS</v>
      </c>
    </row>
    <row r="505" customFormat="false" ht="15" hidden="false" customHeight="false" outlineLevel="0" collapsed="false">
      <c r="B505" s="61" t="n">
        <v>497</v>
      </c>
      <c r="C505" s="9" t="s">
        <v>1169</v>
      </c>
      <c r="D505" s="9" t="s">
        <v>1218</v>
      </c>
      <c r="E505" s="24" t="n">
        <v>106.35</v>
      </c>
      <c r="F505" s="55" t="n">
        <f aca="false">Sensitivity!$G$36</f>
        <v>106.345373461809</v>
      </c>
      <c r="G505" s="31" t="n">
        <f aca="false">IFERROR(F505-E505,"n/a")</f>
        <v>-0.00462653819116099</v>
      </c>
      <c r="H505" s="42" t="n">
        <v>0.005000001</v>
      </c>
      <c r="I505" s="60" t="str">
        <f aca="false">IFERROR(IF(ABS(F505-E505)&lt;=H505,"PASS","FAIL"),"FAIL")</f>
        <v>PASS</v>
      </c>
    </row>
    <row r="506" customFormat="false" ht="15" hidden="false" customHeight="false" outlineLevel="0" collapsed="false">
      <c r="B506" s="61" t="n">
        <v>498</v>
      </c>
      <c r="C506" s="9" t="s">
        <v>1169</v>
      </c>
      <c r="D506" s="9" t="s">
        <v>1219</v>
      </c>
      <c r="E506" s="24" t="n">
        <v>120.59</v>
      </c>
      <c r="F506" s="55" t="n">
        <f aca="false">Sensitivity!$H$36</f>
        <v>120.591536379942</v>
      </c>
      <c r="G506" s="31" t="n">
        <f aca="false">IFERROR(F506-E506,"n/a")</f>
        <v>0.00153637994218059</v>
      </c>
      <c r="H506" s="42" t="n">
        <v>0.005000001</v>
      </c>
      <c r="I506" s="60" t="str">
        <f aca="false">IFERROR(IF(ABS(F506-E506)&lt;=H506,"PASS","FAIL"),"FAIL")</f>
        <v>PASS</v>
      </c>
    </row>
    <row r="507" customFormat="false" ht="15" hidden="false" customHeight="false" outlineLevel="0" collapsed="false">
      <c r="B507" s="61" t="n">
        <v>499</v>
      </c>
      <c r="C507" s="9" t="s">
        <v>1169</v>
      </c>
      <c r="D507" s="9" t="s">
        <v>1220</v>
      </c>
      <c r="E507" s="24" t="n">
        <v>75.14</v>
      </c>
      <c r="F507" s="55" t="n">
        <f aca="false">Sensitivity!$D$37</f>
        <v>75.1436530674391</v>
      </c>
      <c r="G507" s="31" t="n">
        <f aca="false">IFERROR(F507-E507,"n/a")</f>
        <v>0.00365306743904625</v>
      </c>
      <c r="H507" s="42" t="n">
        <v>0.005000001</v>
      </c>
      <c r="I507" s="60" t="str">
        <f aca="false">IFERROR(IF(ABS(F507-E507)&lt;=H507,"PASS","FAIL"),"FAIL")</f>
        <v>PASS</v>
      </c>
    </row>
    <row r="508" customFormat="false" ht="15" hidden="false" customHeight="false" outlineLevel="0" collapsed="false">
      <c r="B508" s="61" t="n">
        <v>500</v>
      </c>
      <c r="C508" s="9" t="s">
        <v>1169</v>
      </c>
      <c r="D508" s="9" t="s">
        <v>1221</v>
      </c>
      <c r="E508" s="24" t="n">
        <v>82.18</v>
      </c>
      <c r="F508" s="55" t="n">
        <f aca="false">Sensitivity!$E$37</f>
        <v>82.1829190370058</v>
      </c>
      <c r="G508" s="31" t="n">
        <f aca="false">IFERROR(F508-E508,"n/a")</f>
        <v>0.0029190370057961</v>
      </c>
      <c r="H508" s="42" t="n">
        <v>0.005000001</v>
      </c>
      <c r="I508" s="60" t="str">
        <f aca="false">IFERROR(IF(ABS(F508-E508)&lt;=H508,"PASS","FAIL"),"FAIL")</f>
        <v>PASS</v>
      </c>
    </row>
    <row r="509" customFormat="false" ht="15" hidden="false" customHeight="false" outlineLevel="0" collapsed="false">
      <c r="B509" s="61" t="n">
        <v>501</v>
      </c>
      <c r="C509" s="9" t="s">
        <v>1169</v>
      </c>
      <c r="D509" s="9" t="s">
        <v>1222</v>
      </c>
      <c r="E509" s="24" t="n">
        <v>90.63</v>
      </c>
      <c r="F509" s="55" t="n">
        <f aca="false">Sensitivity!$F$37</f>
        <v>90.6300382004859</v>
      </c>
      <c r="G509" s="31" t="n">
        <f aca="false">IFERROR(F509-E509,"n/a")</f>
        <v>3.82004859176277E-005</v>
      </c>
      <c r="H509" s="42" t="n">
        <v>0.005000001</v>
      </c>
      <c r="I509" s="60" t="str">
        <f aca="false">IFERROR(IF(ABS(F509-E509)&lt;=H509,"PASS","FAIL"),"FAIL")</f>
        <v>PASS</v>
      </c>
    </row>
    <row r="510" customFormat="false" ht="15" hidden="false" customHeight="false" outlineLevel="0" collapsed="false">
      <c r="B510" s="61" t="n">
        <v>502</v>
      </c>
      <c r="C510" s="9" t="s">
        <v>1169</v>
      </c>
      <c r="D510" s="9" t="s">
        <v>1223</v>
      </c>
      <c r="E510" s="24" t="n">
        <v>100.95</v>
      </c>
      <c r="F510" s="55" t="n">
        <f aca="false">Sensitivity!$G$37</f>
        <v>100.954294955851</v>
      </c>
      <c r="G510" s="31" t="n">
        <f aca="false">IFERROR(F510-E510,"n/a")</f>
        <v>0.00429495585052564</v>
      </c>
      <c r="H510" s="42" t="n">
        <v>0.005000001</v>
      </c>
      <c r="I510" s="60" t="str">
        <f aca="false">IFERROR(IF(ABS(F510-E510)&lt;=H510,"PASS","FAIL"),"FAIL")</f>
        <v>PASS</v>
      </c>
    </row>
    <row r="511" customFormat="false" ht="15" hidden="false" customHeight="false" outlineLevel="0" collapsed="false">
      <c r="B511" s="61" t="n">
        <v>503</v>
      </c>
      <c r="C511" s="9" t="s">
        <v>1169</v>
      </c>
      <c r="D511" s="9" t="s">
        <v>1224</v>
      </c>
      <c r="E511" s="24" t="n">
        <v>113.86</v>
      </c>
      <c r="F511" s="55" t="n">
        <f aca="false">Sensitivity!$H$37</f>
        <v>113.859615900056</v>
      </c>
      <c r="G511" s="31" t="n">
        <f aca="false">IFERROR(F511-E511,"n/a")</f>
        <v>-0.00038409994371591</v>
      </c>
      <c r="H511" s="42" t="n">
        <v>0.005000001</v>
      </c>
      <c r="I511" s="60" t="str">
        <f aca="false">IFERROR(IF(ABS(F511-E511)&lt;=H511,"PASS","FAIL"),"FAIL")</f>
        <v>PASS</v>
      </c>
    </row>
    <row r="512" customFormat="false" ht="15" hidden="false" customHeight="false" outlineLevel="0" collapsed="false">
      <c r="B512" s="61" t="n">
        <v>504</v>
      </c>
      <c r="C512" s="9" t="s">
        <v>1169</v>
      </c>
      <c r="D512" s="9" t="s">
        <v>1225</v>
      </c>
      <c r="E512" s="24" t="n">
        <v>67.68</v>
      </c>
      <c r="F512" s="55" t="n">
        <f aca="false">Sensitivity!$D$38</f>
        <v>67.6765516692335</v>
      </c>
      <c r="G512" s="31" t="n">
        <f aca="false">IFERROR(F512-E512,"n/a")</f>
        <v>-0.00344833076653117</v>
      </c>
      <c r="H512" s="42" t="n">
        <v>0.005000001</v>
      </c>
      <c r="I512" s="60" t="str">
        <f aca="false">IFERROR(IF(ABS(F512-E512)&lt;=H512,"PASS","FAIL"),"FAIL")</f>
        <v>PASS</v>
      </c>
    </row>
    <row r="513" customFormat="false" ht="15" hidden="false" customHeight="false" outlineLevel="0" collapsed="false">
      <c r="B513" s="61" t="n">
        <v>505</v>
      </c>
      <c r="C513" s="9" t="s">
        <v>1169</v>
      </c>
      <c r="D513" s="9" t="s">
        <v>1226</v>
      </c>
      <c r="E513" s="24" t="n">
        <v>73.52</v>
      </c>
      <c r="F513" s="55" t="n">
        <f aca="false">Sensitivity!$E$38</f>
        <v>73.5238166716014</v>
      </c>
      <c r="G513" s="31" t="n">
        <f aca="false">IFERROR(F513-E513,"n/a")</f>
        <v>0.00381667160144161</v>
      </c>
      <c r="H513" s="42" t="n">
        <v>0.005000001</v>
      </c>
      <c r="I513" s="60" t="str">
        <f aca="false">IFERROR(IF(ABS(F513-E513)&lt;=H513,"PASS","FAIL"),"FAIL")</f>
        <v>PASS</v>
      </c>
    </row>
    <row r="514" customFormat="false" ht="15" hidden="false" customHeight="false" outlineLevel="0" collapsed="false">
      <c r="B514" s="61" t="n">
        <v>506</v>
      </c>
      <c r="C514" s="9" t="s">
        <v>1169</v>
      </c>
      <c r="D514" s="9" t="s">
        <v>1227</v>
      </c>
      <c r="E514" s="24" t="n">
        <v>80.43</v>
      </c>
      <c r="F514" s="55" t="n">
        <f aca="false">Sensitivity!$F$38</f>
        <v>80.434220765309</v>
      </c>
      <c r="G514" s="31" t="n">
        <f aca="false">IFERROR(F514-E514,"n/a")</f>
        <v>0.0042207653090145</v>
      </c>
      <c r="H514" s="42" t="n">
        <v>0.005000001</v>
      </c>
      <c r="I514" s="60" t="str">
        <f aca="false">IFERROR(IF(ABS(F514-E514)&lt;=H514,"PASS","FAIL"),"FAIL")</f>
        <v>PASS</v>
      </c>
    </row>
    <row r="515" customFormat="false" ht="15" hidden="false" customHeight="false" outlineLevel="0" collapsed="false">
      <c r="B515" s="61" t="n">
        <v>507</v>
      </c>
      <c r="C515" s="9" t="s">
        <v>1169</v>
      </c>
      <c r="D515" s="9" t="s">
        <v>1228</v>
      </c>
      <c r="E515" s="24" t="n">
        <v>88.73</v>
      </c>
      <c r="F515" s="55" t="n">
        <f aca="false">Sensitivity!$G$38</f>
        <v>88.7267056777582</v>
      </c>
      <c r="G515" s="31" t="n">
        <f aca="false">IFERROR(F515-E515,"n/a")</f>
        <v>-0.00329432224185666</v>
      </c>
      <c r="H515" s="42" t="n">
        <v>0.005000001</v>
      </c>
      <c r="I515" s="60" t="str">
        <f aca="false">IFERROR(IF(ABS(F515-E515)&lt;=H515,"PASS","FAIL"),"FAIL")</f>
        <v>PASS</v>
      </c>
    </row>
    <row r="516" customFormat="false" ht="15" hidden="false" customHeight="false" outlineLevel="0" collapsed="false">
      <c r="B516" s="61" t="n">
        <v>508</v>
      </c>
      <c r="C516" s="9" t="s">
        <v>1169</v>
      </c>
      <c r="D516" s="9" t="s">
        <v>1229</v>
      </c>
      <c r="E516" s="24" t="n">
        <v>98.86</v>
      </c>
      <c r="F516" s="55" t="n">
        <f aca="false">Sensitivity!$H$38</f>
        <v>98.861965015196</v>
      </c>
      <c r="G516" s="31" t="n">
        <f aca="false">IFERROR(F516-E516,"n/a")</f>
        <v>0.00196501519596382</v>
      </c>
      <c r="H516" s="42" t="n">
        <v>0.005000001</v>
      </c>
      <c r="I516" s="60" t="str">
        <f aca="false">IFERROR(IF(ABS(F516-E516)&lt;=H516,"PASS","FAIL"),"FAIL")</f>
        <v>PASS</v>
      </c>
    </row>
    <row r="517" customFormat="false" ht="15" hidden="false" customHeight="false" outlineLevel="0" collapsed="false">
      <c r="B517" s="61" t="n">
        <v>509</v>
      </c>
      <c r="C517" s="9" t="s">
        <v>1169</v>
      </c>
      <c r="D517" s="9" t="s">
        <v>1230</v>
      </c>
      <c r="E517" s="24" t="n">
        <v>61.28</v>
      </c>
      <c r="F517" s="55" t="n">
        <f aca="false">Sensitivity!$D$39</f>
        <v>61.2786481447855</v>
      </c>
      <c r="G517" s="31" t="n">
        <f aca="false">IFERROR(F517-E517,"n/a")</f>
        <v>-0.00135185521453707</v>
      </c>
      <c r="H517" s="42" t="n">
        <v>0.005000001</v>
      </c>
      <c r="I517" s="60" t="str">
        <f aca="false">IFERROR(IF(ABS(F517-E517)&lt;=H517,"PASS","FAIL"),"FAIL")</f>
        <v>PASS</v>
      </c>
    </row>
    <row r="518" customFormat="false" ht="15" hidden="false" customHeight="false" outlineLevel="0" collapsed="false">
      <c r="B518" s="61" t="n">
        <v>510</v>
      </c>
      <c r="C518" s="9" t="s">
        <v>1169</v>
      </c>
      <c r="D518" s="9" t="s">
        <v>1231</v>
      </c>
      <c r="E518" s="24" t="n">
        <v>66.2</v>
      </c>
      <c r="F518" s="55" t="n">
        <f aca="false">Sensitivity!$E$39</f>
        <v>66.1992581820765</v>
      </c>
      <c r="G518" s="31" t="n">
        <f aca="false">IFERROR(F518-E518,"n/a")</f>
        <v>-0.000741817923497479</v>
      </c>
      <c r="H518" s="42" t="n">
        <v>0.005000001</v>
      </c>
      <c r="I518" s="60" t="str">
        <f aca="false">IFERROR(IF(ABS(F518-E518)&lt;=H518,"PASS","FAIL"),"FAIL")</f>
        <v>PASS</v>
      </c>
    </row>
    <row r="519" customFormat="false" ht="15" hidden="false" customHeight="false" outlineLevel="0" collapsed="false">
      <c r="B519" s="61" t="n">
        <v>511</v>
      </c>
      <c r="C519" s="9" t="s">
        <v>1169</v>
      </c>
      <c r="D519" s="9" t="s">
        <v>1232</v>
      </c>
      <c r="E519" s="24" t="n">
        <v>71.94</v>
      </c>
      <c r="F519" s="55" t="n">
        <f aca="false">Sensitivity!$F$39</f>
        <v>71.9399698922494</v>
      </c>
      <c r="G519" s="31" t="n">
        <f aca="false">IFERROR(F519-E519,"n/a")</f>
        <v>-3.01077505895364E-005</v>
      </c>
      <c r="H519" s="42" t="n">
        <v>0.005000001</v>
      </c>
      <c r="I519" s="60" t="str">
        <f aca="false">IFERROR(IF(ABS(F519-E519)&lt;=H519,"PASS","FAIL"),"FAIL")</f>
        <v>PASS</v>
      </c>
    </row>
    <row r="520" customFormat="false" ht="15" hidden="false" customHeight="false" outlineLevel="0" collapsed="false">
      <c r="B520" s="61" t="n">
        <v>512</v>
      </c>
      <c r="C520" s="9" t="s">
        <v>1169</v>
      </c>
      <c r="D520" s="9" t="s">
        <v>1233</v>
      </c>
      <c r="E520" s="24" t="n">
        <v>78.72</v>
      </c>
      <c r="F520" s="55" t="n">
        <f aca="false">Sensitivity!$G$39</f>
        <v>78.7244473679083</v>
      </c>
      <c r="G520" s="31" t="n">
        <f aca="false">IFERROR(F520-E520,"n/a")</f>
        <v>0.00444736790828415</v>
      </c>
      <c r="H520" s="42" t="n">
        <v>0.005000001</v>
      </c>
      <c r="I520" s="60" t="str">
        <f aca="false">IFERROR(IF(ABS(F520-E520)&lt;=H520,"PASS","FAIL"),"FAIL")</f>
        <v>PASS</v>
      </c>
    </row>
    <row r="521" customFormat="false" ht="15" hidden="false" customHeight="false" outlineLevel="0" collapsed="false">
      <c r="B521" s="61" t="n">
        <v>513</v>
      </c>
      <c r="C521" s="9" t="s">
        <v>1169</v>
      </c>
      <c r="D521" s="9" t="s">
        <v>1234</v>
      </c>
      <c r="E521" s="24" t="n">
        <v>86.87</v>
      </c>
      <c r="F521" s="55" t="n">
        <f aca="false">Sensitivity!$H$39</f>
        <v>86.8658203386989</v>
      </c>
      <c r="G521" s="31" t="n">
        <f aca="false">IFERROR(F521-E521,"n/a")</f>
        <v>-0.00417966130108027</v>
      </c>
      <c r="H521" s="42" t="n">
        <v>0.005000001</v>
      </c>
      <c r="I521" s="60" t="str">
        <f aca="false">IFERROR(IF(ABS(F521-E521)&lt;=H521,"PASS","FAIL"),"FAIL")</f>
        <v>PASS</v>
      </c>
    </row>
    <row r="522" customFormat="false" ht="15" hidden="false" customHeight="false" outlineLevel="0" collapsed="false">
      <c r="B522" s="61" t="n">
        <v>514</v>
      </c>
      <c r="C522" s="9" t="s">
        <v>1169</v>
      </c>
      <c r="D522" s="9" t="s">
        <v>1235</v>
      </c>
      <c r="E522" s="24" t="n">
        <v>5.06</v>
      </c>
      <c r="F522" s="55" t="n">
        <f aca="false">Sensitivity!$D$11</f>
        <v>5.05801284230324</v>
      </c>
      <c r="G522" s="31" t="n">
        <f aca="false">IFERROR(F522-E522,"n/a")</f>
        <v>-0.00198715769676472</v>
      </c>
      <c r="H522" s="42" t="n">
        <v>0.005000001</v>
      </c>
      <c r="I522" s="60" t="str">
        <f aca="false">IFERROR(IF(ABS(F522-E522)&lt;=H522,"PASS","FAIL"),"FAIL")</f>
        <v>PASS</v>
      </c>
    </row>
    <row r="523" customFormat="false" ht="15" hidden="false" customHeight="false" outlineLevel="0" collapsed="false">
      <c r="B523" s="61" t="n">
        <v>515</v>
      </c>
      <c r="C523" s="9" t="s">
        <v>1169</v>
      </c>
      <c r="D523" s="9" t="s">
        <v>1236</v>
      </c>
      <c r="E523" s="24" t="n">
        <v>5.1</v>
      </c>
      <c r="F523" s="55" t="n">
        <f aca="false">Sensitivity!$D$12</f>
        <v>5.10365724738779</v>
      </c>
      <c r="G523" s="31" t="n">
        <f aca="false">IFERROR(F523-E523,"n/a")</f>
        <v>0.00365724738779427</v>
      </c>
      <c r="H523" s="42" t="n">
        <v>0.005000001</v>
      </c>
      <c r="I523" s="60" t="str">
        <f aca="false">IFERROR(IF(ABS(F523-E523)&lt;=H523,"PASS","FAIL"),"FAIL")</f>
        <v>PASS</v>
      </c>
    </row>
    <row r="524" customFormat="false" ht="15" hidden="false" customHeight="false" outlineLevel="0" collapsed="false">
      <c r="B524" s="61" t="n">
        <v>516</v>
      </c>
      <c r="C524" s="9" t="s">
        <v>1169</v>
      </c>
      <c r="D524" s="9" t="s">
        <v>1237</v>
      </c>
      <c r="E524" s="24" t="n">
        <v>0.05</v>
      </c>
      <c r="F524" s="55" t="n">
        <f aca="false">Sensitivity!$E$12</f>
        <v>0.045644405084559</v>
      </c>
      <c r="G524" s="31" t="n">
        <f aca="false">IFERROR(F524-E524,"n/a")</f>
        <v>-0.00435559491544098</v>
      </c>
      <c r="H524" s="42" t="n">
        <v>0.005000001</v>
      </c>
      <c r="I524" s="60" t="str">
        <f aca="false">IFERROR(IF(ABS(F524-E524)&lt;=H524,"PASS","FAIL"),"FAIL")</f>
        <v>PASS</v>
      </c>
    </row>
    <row r="525" customFormat="false" ht="15" hidden="false" customHeight="false" outlineLevel="0" collapsed="false">
      <c r="B525" s="61" t="n">
        <v>517</v>
      </c>
      <c r="C525" s="9" t="s">
        <v>1169</v>
      </c>
      <c r="D525" s="9" t="s">
        <v>1238</v>
      </c>
      <c r="E525" s="11" t="n">
        <v>0.009</v>
      </c>
      <c r="F525" s="62" t="n">
        <f aca="false">Sensitivity!$F$12</f>
        <v>0.00902417738104711</v>
      </c>
      <c r="G525" s="31" t="n">
        <f aca="false">IFERROR(F525-E525,"n/a")</f>
        <v>2.41773810471038E-005</v>
      </c>
      <c r="H525" s="42" t="n">
        <v>0.000500001</v>
      </c>
      <c r="I525" s="60" t="str">
        <f aca="false">IFERROR(IF(ABS(F525-E525)&lt;=H525,"PASS","FAIL"),"FAIL")</f>
        <v>PASS</v>
      </c>
    </row>
    <row r="526" customFormat="false" ht="15" hidden="false" customHeight="false" outlineLevel="0" collapsed="false">
      <c r="B526" s="61" t="n">
        <v>518</v>
      </c>
      <c r="C526" s="9" t="s">
        <v>1169</v>
      </c>
      <c r="D526" s="9" t="s">
        <v>1239</v>
      </c>
      <c r="E526" s="24" t="n">
        <v>5.1</v>
      </c>
      <c r="F526" s="55" t="n">
        <f aca="false">Sensitivity!$D$13</f>
        <v>5.10332729678265</v>
      </c>
      <c r="G526" s="31" t="n">
        <f aca="false">IFERROR(F526-E526,"n/a")</f>
        <v>0.00332729678264787</v>
      </c>
      <c r="H526" s="42" t="n">
        <v>0.005000001</v>
      </c>
      <c r="I526" s="60" t="str">
        <f aca="false">IFERROR(IF(ABS(F526-E526)&lt;=H526,"PASS","FAIL"),"FAIL")</f>
        <v>PASS</v>
      </c>
    </row>
    <row r="527" customFormat="false" ht="15" hidden="false" customHeight="false" outlineLevel="0" collapsed="false">
      <c r="B527" s="61" t="n">
        <v>519</v>
      </c>
      <c r="C527" s="9" t="s">
        <v>1169</v>
      </c>
      <c r="D527" s="9" t="s">
        <v>1240</v>
      </c>
      <c r="E527" s="24" t="n">
        <v>0.05</v>
      </c>
      <c r="F527" s="55" t="n">
        <f aca="false">Sensitivity!$E$13</f>
        <v>0.0453144544794126</v>
      </c>
      <c r="G527" s="31" t="n">
        <f aca="false">IFERROR(F527-E527,"n/a")</f>
        <v>-0.00468554552058738</v>
      </c>
      <c r="H527" s="42" t="n">
        <v>0.005000001</v>
      </c>
      <c r="I527" s="60" t="str">
        <f aca="false">IFERROR(IF(ABS(F527-E527)&lt;=H527,"PASS","FAIL"),"FAIL")</f>
        <v>PASS</v>
      </c>
    </row>
    <row r="528" customFormat="false" ht="15" hidden="false" customHeight="false" outlineLevel="0" collapsed="false">
      <c r="B528" s="61" t="n">
        <v>520</v>
      </c>
      <c r="C528" s="9" t="s">
        <v>1169</v>
      </c>
      <c r="D528" s="9" t="s">
        <v>1241</v>
      </c>
      <c r="E528" s="11" t="n">
        <v>0.009</v>
      </c>
      <c r="F528" s="62" t="n">
        <f aca="false">Sensitivity!$F$13</f>
        <v>0.00895894413324139</v>
      </c>
      <c r="G528" s="31" t="n">
        <f aca="false">IFERROR(F528-E528,"n/a")</f>
        <v>-4.10558667586144E-005</v>
      </c>
      <c r="H528" s="42" t="n">
        <v>0.000500001</v>
      </c>
      <c r="I528" s="60" t="str">
        <f aca="false">IFERROR(IF(ABS(F528-E528)&lt;=H528,"PASS","FAIL"),"FAIL")</f>
        <v>PASS</v>
      </c>
    </row>
    <row r="529" customFormat="false" ht="15" hidden="false" customHeight="false" outlineLevel="0" collapsed="false">
      <c r="B529" s="61" t="n">
        <v>521</v>
      </c>
      <c r="C529" s="9" t="s">
        <v>1169</v>
      </c>
      <c r="D529" s="9" t="s">
        <v>1242</v>
      </c>
      <c r="E529" s="24" t="n">
        <v>5.09</v>
      </c>
      <c r="F529" s="55" t="n">
        <f aca="false">Sensitivity!$D$14</f>
        <v>5.09207446139927</v>
      </c>
      <c r="G529" s="31" t="n">
        <f aca="false">IFERROR(F529-E529,"n/a")</f>
        <v>0.00207446139926493</v>
      </c>
      <c r="H529" s="42" t="n">
        <v>0.005000001</v>
      </c>
      <c r="I529" s="60" t="str">
        <f aca="false">IFERROR(IF(ABS(F529-E529)&lt;=H529,"PASS","FAIL"),"FAIL")</f>
        <v>PASS</v>
      </c>
    </row>
    <row r="530" customFormat="false" ht="15" hidden="false" customHeight="false" outlineLevel="0" collapsed="false">
      <c r="B530" s="61" t="n">
        <v>522</v>
      </c>
      <c r="C530" s="9" t="s">
        <v>1169</v>
      </c>
      <c r="D530" s="9" t="s">
        <v>1243</v>
      </c>
      <c r="E530" s="24" t="n">
        <v>0.03</v>
      </c>
      <c r="F530" s="55" t="n">
        <f aca="false">Sensitivity!$E$14</f>
        <v>0.0340616190960299</v>
      </c>
      <c r="G530" s="31" t="n">
        <f aca="false">IFERROR(F530-E530,"n/a")</f>
        <v>0.0040616190960299</v>
      </c>
      <c r="H530" s="42" t="n">
        <v>0.005000001</v>
      </c>
      <c r="I530" s="60" t="str">
        <f aca="false">IFERROR(IF(ABS(F530-E530)&lt;=H530,"PASS","FAIL"),"FAIL")</f>
        <v>PASS</v>
      </c>
    </row>
    <row r="531" customFormat="false" ht="15" hidden="false" customHeight="false" outlineLevel="0" collapsed="false">
      <c r="B531" s="61" t="n">
        <v>523</v>
      </c>
      <c r="C531" s="9" t="s">
        <v>1169</v>
      </c>
      <c r="D531" s="9" t="s">
        <v>1244</v>
      </c>
      <c r="E531" s="11" t="n">
        <v>0.007</v>
      </c>
      <c r="F531" s="62" t="n">
        <f aca="false">Sensitivity!$F$14</f>
        <v>0.00673418991963648</v>
      </c>
      <c r="G531" s="31" t="n">
        <f aca="false">IFERROR(F531-E531,"n/a")</f>
        <v>-0.00026581008036352</v>
      </c>
      <c r="H531" s="42" t="n">
        <v>0.000500001</v>
      </c>
      <c r="I531" s="60" t="str">
        <f aca="false">IFERROR(IF(ABS(F531-E531)&lt;=H531,"PASS","FAIL"),"FAIL")</f>
        <v>PASS</v>
      </c>
    </row>
    <row r="532" customFormat="false" ht="15" hidden="false" customHeight="false" outlineLevel="0" collapsed="false">
      <c r="B532" s="61" t="n">
        <v>524</v>
      </c>
      <c r="C532" s="9" t="s">
        <v>1169</v>
      </c>
      <c r="D532" s="9" t="s">
        <v>1245</v>
      </c>
      <c r="E532" s="24" t="n">
        <v>5.17</v>
      </c>
      <c r="F532" s="55" t="n">
        <f aca="false">Sensitivity!$D$15</f>
        <v>5.16924439825912</v>
      </c>
      <c r="G532" s="31" t="n">
        <f aca="false">IFERROR(F532-E532,"n/a")</f>
        <v>-0.000755601740881851</v>
      </c>
      <c r="H532" s="42" t="n">
        <v>0.005000001</v>
      </c>
      <c r="I532" s="60" t="str">
        <f aca="false">IFERROR(IF(ABS(F532-E532)&lt;=H532,"PASS","FAIL"),"FAIL")</f>
        <v>PASS</v>
      </c>
    </row>
    <row r="533" customFormat="false" ht="15" hidden="false" customHeight="false" outlineLevel="0" collapsed="false">
      <c r="B533" s="61" t="n">
        <v>525</v>
      </c>
      <c r="C533" s="9" t="s">
        <v>1169</v>
      </c>
      <c r="D533" s="9" t="s">
        <v>1246</v>
      </c>
      <c r="E533" s="24" t="n">
        <v>0.11</v>
      </c>
      <c r="F533" s="55" t="n">
        <f aca="false">Sensitivity!$E$15</f>
        <v>0.111231555955883</v>
      </c>
      <c r="G533" s="31" t="n">
        <f aca="false">IFERROR(F533-E533,"n/a")</f>
        <v>0.00123155595588319</v>
      </c>
      <c r="H533" s="42" t="n">
        <v>0.005000001</v>
      </c>
      <c r="I533" s="60" t="str">
        <f aca="false">IFERROR(IF(ABS(F533-E533)&lt;=H533,"PASS","FAIL"),"FAIL")</f>
        <v>PASS</v>
      </c>
    </row>
    <row r="534" customFormat="false" ht="15" hidden="false" customHeight="false" outlineLevel="0" collapsed="false">
      <c r="B534" s="61" t="n">
        <v>526</v>
      </c>
      <c r="C534" s="9" t="s">
        <v>1169</v>
      </c>
      <c r="D534" s="9" t="s">
        <v>1247</v>
      </c>
      <c r="E534" s="11" t="n">
        <v>0.022</v>
      </c>
      <c r="F534" s="62" t="n">
        <f aca="false">Sensitivity!$F$15</f>
        <v>0.0219911572832687</v>
      </c>
      <c r="G534" s="31" t="n">
        <f aca="false">IFERROR(F534-E534,"n/a")</f>
        <v>-8.84271673127351E-006</v>
      </c>
      <c r="H534" s="42" t="n">
        <v>0.000500001</v>
      </c>
      <c r="I534" s="60" t="str">
        <f aca="false">IFERROR(IF(ABS(F534-E534)&lt;=H534,"PASS","FAIL"),"FAIL")</f>
        <v>PASS</v>
      </c>
    </row>
    <row r="535" customFormat="false" ht="15" hidden="false" customHeight="false" outlineLevel="0" collapsed="false">
      <c r="B535" s="61" t="n">
        <v>527</v>
      </c>
      <c r="C535" s="9" t="s">
        <v>1169</v>
      </c>
      <c r="D535" s="9" t="s">
        <v>1248</v>
      </c>
      <c r="E535" s="24" t="n">
        <v>5.24</v>
      </c>
      <c r="F535" s="55" t="n">
        <f aca="false">Sensitivity!$D$16</f>
        <v>5.23507929238412</v>
      </c>
      <c r="G535" s="31" t="n">
        <f aca="false">IFERROR(F535-E535,"n/a")</f>
        <v>-0.00492070761588259</v>
      </c>
      <c r="H535" s="42" t="n">
        <v>0.005000001</v>
      </c>
      <c r="I535" s="60" t="str">
        <f aca="false">IFERROR(IF(ABS(F535-E535)&lt;=H535,"PASS","FAIL"),"FAIL")</f>
        <v>PASS</v>
      </c>
    </row>
    <row r="536" customFormat="false" ht="15" hidden="false" customHeight="false" outlineLevel="0" collapsed="false">
      <c r="B536" s="61" t="n">
        <v>528</v>
      </c>
      <c r="C536" s="9" t="s">
        <v>1169</v>
      </c>
      <c r="D536" s="9" t="s">
        <v>1249</v>
      </c>
      <c r="E536" s="24" t="n">
        <v>0.18</v>
      </c>
      <c r="F536" s="55" t="n">
        <f aca="false">Sensitivity!$E$16</f>
        <v>0.177066450080883</v>
      </c>
      <c r="G536" s="31" t="n">
        <f aca="false">IFERROR(F536-E536,"n/a")</f>
        <v>-0.00293354991911726</v>
      </c>
      <c r="H536" s="42" t="n">
        <v>0.005000001</v>
      </c>
      <c r="I536" s="60" t="str">
        <f aca="false">IFERROR(IF(ABS(F536-E536)&lt;=H536,"PASS","FAIL"),"FAIL")</f>
        <v>PASS</v>
      </c>
    </row>
    <row r="537" customFormat="false" ht="15" hidden="false" customHeight="false" outlineLevel="0" collapsed="false">
      <c r="B537" s="61" t="n">
        <v>529</v>
      </c>
      <c r="C537" s="9" t="s">
        <v>1169</v>
      </c>
      <c r="D537" s="9" t="s">
        <v>1250</v>
      </c>
      <c r="E537" s="11" t="n">
        <v>0.035</v>
      </c>
      <c r="F537" s="62" t="n">
        <f aca="false">Sensitivity!$F$16</f>
        <v>0.0350071175383282</v>
      </c>
      <c r="G537" s="31" t="n">
        <f aca="false">IFERROR(F537-E537,"n/a")</f>
        <v>7.11753832818851E-006</v>
      </c>
      <c r="H537" s="42" t="n">
        <v>0.000500001</v>
      </c>
      <c r="I537" s="60" t="str">
        <f aca="false">IFERROR(IF(ABS(F537-E537)&lt;=H537,"PASS","FAIL"),"FAIL")</f>
        <v>PASS</v>
      </c>
    </row>
    <row r="538" customFormat="false" ht="15" hidden="false" customHeight="false" outlineLevel="0" collapsed="false">
      <c r="B538" s="61" t="n">
        <v>530</v>
      </c>
      <c r="C538" s="9" t="s">
        <v>1169</v>
      </c>
      <c r="D538" s="9" t="s">
        <v>1251</v>
      </c>
      <c r="E538" s="24" t="n">
        <v>5.13</v>
      </c>
      <c r="F538" s="55" t="n">
        <f aca="false">Sensitivity!$D$17</f>
        <v>5.13238861730618</v>
      </c>
      <c r="G538" s="31" t="n">
        <f aca="false">IFERROR(F538-E538,"n/a")</f>
        <v>0.00238861730617579</v>
      </c>
      <c r="H538" s="42" t="n">
        <v>0.005000001</v>
      </c>
      <c r="I538" s="60" t="str">
        <f aca="false">IFERROR(IF(ABS(F538-E538)&lt;=H538,"PASS","FAIL"),"FAIL")</f>
        <v>PASS</v>
      </c>
    </row>
    <row r="539" customFormat="false" ht="15" hidden="false" customHeight="false" outlineLevel="0" collapsed="false">
      <c r="B539" s="61" t="n">
        <v>531</v>
      </c>
      <c r="C539" s="9" t="s">
        <v>1169</v>
      </c>
      <c r="D539" s="9" t="s">
        <v>1252</v>
      </c>
      <c r="E539" s="24" t="n">
        <v>0.07</v>
      </c>
      <c r="F539" s="55" t="n">
        <f aca="false">Sensitivity!$E$17</f>
        <v>0.0743757750029408</v>
      </c>
      <c r="G539" s="31" t="n">
        <f aca="false">IFERROR(F539-E539,"n/a")</f>
        <v>0.00437577500294079</v>
      </c>
      <c r="H539" s="42" t="n">
        <v>0.005000001</v>
      </c>
      <c r="I539" s="60" t="str">
        <f aca="false">IFERROR(IF(ABS(F539-E539)&lt;=H539,"PASS","FAIL"),"FAIL")</f>
        <v>PASS</v>
      </c>
    </row>
    <row r="540" customFormat="false" ht="15" hidden="false" customHeight="false" outlineLevel="0" collapsed="false">
      <c r="B540" s="61" t="n">
        <v>532</v>
      </c>
      <c r="C540" s="9" t="s">
        <v>1169</v>
      </c>
      <c r="D540" s="9" t="s">
        <v>1253</v>
      </c>
      <c r="E540" s="11" t="n">
        <v>0.015</v>
      </c>
      <c r="F540" s="62" t="n">
        <f aca="false">Sensitivity!$F$17</f>
        <v>0.0147045445161569</v>
      </c>
      <c r="G540" s="31" t="n">
        <f aca="false">IFERROR(F540-E540,"n/a")</f>
        <v>-0.000295455483843118</v>
      </c>
      <c r="H540" s="42" t="n">
        <v>0.000500001</v>
      </c>
      <c r="I540" s="60" t="str">
        <f aca="false">IFERROR(IF(ABS(F540-E540)&lt;=H540,"PASS","FAIL"),"FAIL")</f>
        <v>PASS</v>
      </c>
    </row>
    <row r="541" customFormat="false" ht="15" hidden="false" customHeight="false" outlineLevel="0" collapsed="false">
      <c r="B541" s="61" t="n">
        <v>533</v>
      </c>
      <c r="C541" s="9" t="s">
        <v>1169</v>
      </c>
      <c r="D541" s="9" t="s">
        <v>1254</v>
      </c>
      <c r="E541" s="24" t="n">
        <v>5.18</v>
      </c>
      <c r="F541" s="55" t="n">
        <f aca="false">Sensitivity!$D$18</f>
        <v>5.18479645120088</v>
      </c>
      <c r="G541" s="31" t="n">
        <f aca="false">IFERROR(F541-E541,"n/a")</f>
        <v>0.00479645120088268</v>
      </c>
      <c r="H541" s="42" t="n">
        <v>0.005000001</v>
      </c>
      <c r="I541" s="60" t="str">
        <f aca="false">IFERROR(IF(ABS(F541-E541)&lt;=H541,"PASS","FAIL"),"FAIL")</f>
        <v>PASS</v>
      </c>
    </row>
    <row r="542" customFormat="false" ht="15" hidden="false" customHeight="false" outlineLevel="0" collapsed="false">
      <c r="B542" s="61" t="n">
        <v>534</v>
      </c>
      <c r="C542" s="9" t="s">
        <v>1169</v>
      </c>
      <c r="D542" s="9" t="s">
        <v>1255</v>
      </c>
      <c r="E542" s="24" t="n">
        <v>0.13</v>
      </c>
      <c r="F542" s="55" t="n">
        <f aca="false">Sensitivity!$E$18</f>
        <v>0.126783608897648</v>
      </c>
      <c r="G542" s="31" t="n">
        <f aca="false">IFERROR(F542-E542,"n/a")</f>
        <v>-0.0032163911023525</v>
      </c>
      <c r="H542" s="42" t="n">
        <v>0.005000001</v>
      </c>
      <c r="I542" s="60" t="str">
        <f aca="false">IFERROR(IF(ABS(F542-E542)&lt;=H542,"PASS","FAIL"),"FAIL")</f>
        <v>PASS</v>
      </c>
    </row>
    <row r="543" customFormat="false" ht="15" hidden="false" customHeight="false" outlineLevel="0" collapsed="false">
      <c r="B543" s="61" t="n">
        <v>535</v>
      </c>
      <c r="C543" s="9" t="s">
        <v>1169</v>
      </c>
      <c r="D543" s="9" t="s">
        <v>1256</v>
      </c>
      <c r="E543" s="11" t="n">
        <v>0.025</v>
      </c>
      <c r="F543" s="62" t="n">
        <f aca="false">Sensitivity!$F$18</f>
        <v>0.0250658930395113</v>
      </c>
      <c r="G543" s="31" t="n">
        <f aca="false">IFERROR(F543-E543,"n/a")</f>
        <v>6.5893039511343E-005</v>
      </c>
      <c r="H543" s="42" t="n">
        <v>0.000500001</v>
      </c>
      <c r="I543" s="60" t="str">
        <f aca="false">IFERROR(IF(ABS(F543-E543)&lt;=H543,"PASS","FAIL"),"FAIL")</f>
        <v>PASS</v>
      </c>
    </row>
    <row r="544" customFormat="false" ht="15" hidden="false" customHeight="false" outlineLevel="0" collapsed="false">
      <c r="B544" s="61" t="n">
        <v>536</v>
      </c>
      <c r="C544" s="9" t="s">
        <v>1169</v>
      </c>
      <c r="D544" s="9" t="s">
        <v>1257</v>
      </c>
      <c r="E544" s="24" t="n">
        <v>4.92</v>
      </c>
      <c r="F544" s="55" t="n">
        <f aca="false">Sensitivity!$D$19</f>
        <v>4.92299380065441</v>
      </c>
      <c r="G544" s="31" t="n">
        <f aca="false">IFERROR(F544-E544,"n/a")</f>
        <v>0.00299380065441301</v>
      </c>
      <c r="H544" s="42" t="n">
        <v>0.005000001</v>
      </c>
      <c r="I544" s="60" t="str">
        <f aca="false">IFERROR(IF(ABS(F544-E544)&lt;=H544,"PASS","FAIL"),"FAIL")</f>
        <v>PASS</v>
      </c>
    </row>
    <row r="545" customFormat="false" ht="15" hidden="false" customHeight="false" outlineLevel="0" collapsed="false">
      <c r="B545" s="61" t="n">
        <v>537</v>
      </c>
      <c r="C545" s="9" t="s">
        <v>1169</v>
      </c>
      <c r="D545" s="9" t="s">
        <v>1258</v>
      </c>
      <c r="E545" s="24" t="n">
        <v>-0.14</v>
      </c>
      <c r="F545" s="55" t="n">
        <f aca="false">Sensitivity!$E$19</f>
        <v>-0.135019041648822</v>
      </c>
      <c r="G545" s="31" t="n">
        <f aca="false">IFERROR(F545-E545,"n/a")</f>
        <v>0.00498095835117807</v>
      </c>
      <c r="H545" s="42" t="n">
        <v>0.005000001</v>
      </c>
      <c r="I545" s="60" t="str">
        <f aca="false">IFERROR(IF(ABS(F545-E545)&lt;=H545,"PASS","FAIL"),"FAIL")</f>
        <v>PASS</v>
      </c>
    </row>
    <row r="546" customFormat="false" ht="15" hidden="false" customHeight="false" outlineLevel="0" collapsed="false">
      <c r="B546" s="61" t="n">
        <v>538</v>
      </c>
      <c r="C546" s="9" t="s">
        <v>1169</v>
      </c>
      <c r="D546" s="9" t="s">
        <v>1259</v>
      </c>
      <c r="E546" s="11" t="n">
        <v>-0.027</v>
      </c>
      <c r="F546" s="62" t="n">
        <f aca="false">Sensitivity!$F$19</f>
        <v>-0.0266940883422786</v>
      </c>
      <c r="G546" s="31" t="n">
        <f aca="false">IFERROR(F546-E546,"n/a")</f>
        <v>0.000305911657721401</v>
      </c>
      <c r="H546" s="42" t="n">
        <v>0.000500001</v>
      </c>
      <c r="I546" s="60" t="str">
        <f aca="false">IFERROR(IF(ABS(F546-E546)&lt;=H546,"PASS","FAIL"),"FAIL")</f>
        <v>PASS</v>
      </c>
    </row>
    <row r="547" customFormat="false" ht="15" hidden="false" customHeight="false" outlineLevel="0" collapsed="false">
      <c r="B547" s="61" t="n">
        <v>539</v>
      </c>
      <c r="C547" s="9" t="s">
        <v>1260</v>
      </c>
      <c r="D547" s="9" t="s">
        <v>1261</v>
      </c>
      <c r="E547" s="24" t="n">
        <v>4.02</v>
      </c>
      <c r="F547" s="55" t="n">
        <f aca="false">Scenarios!$D$5</f>
        <v>4.01807392</v>
      </c>
      <c r="G547" s="31" t="n">
        <f aca="false">IFERROR(F547-E547,"n/a")</f>
        <v>-0.0019260800000005</v>
      </c>
      <c r="H547" s="42" t="n">
        <v>0.005000001</v>
      </c>
      <c r="I547" s="60" t="str">
        <f aca="false">IFERROR(IF(ABS(F547-E547)&lt;=H547,"PASS","FAIL"),"FAIL")</f>
        <v>PASS</v>
      </c>
    </row>
    <row r="548" customFormat="false" ht="15" hidden="false" customHeight="false" outlineLevel="0" collapsed="false">
      <c r="B548" s="61" t="n">
        <v>540</v>
      </c>
      <c r="C548" s="9" t="s">
        <v>1260</v>
      </c>
      <c r="D548" s="9" t="s">
        <v>1262</v>
      </c>
      <c r="E548" s="24" t="n">
        <v>4.34</v>
      </c>
      <c r="F548" s="55" t="n">
        <f aca="false">Scenarios!$D$6</f>
        <v>4.33652012237732</v>
      </c>
      <c r="G548" s="31" t="n">
        <f aca="false">IFERROR(F548-E548,"n/a")</f>
        <v>-0.00347987762268431</v>
      </c>
      <c r="H548" s="42" t="n">
        <v>0.005000001</v>
      </c>
      <c r="I548" s="60" t="str">
        <f aca="false">IFERROR(IF(ABS(F548-E548)&lt;=H548,"PASS","FAIL"),"FAIL")</f>
        <v>PASS</v>
      </c>
    </row>
    <row r="549" customFormat="false" ht="15" hidden="false" customHeight="false" outlineLevel="0" collapsed="false">
      <c r="B549" s="61" t="n">
        <v>541</v>
      </c>
      <c r="C549" s="9" t="s">
        <v>1260</v>
      </c>
      <c r="D549" s="9" t="s">
        <v>1263</v>
      </c>
      <c r="E549" s="24" t="n">
        <v>69.38</v>
      </c>
      <c r="F549" s="55" t="n">
        <f aca="false">Scenarios!$D$8</f>
        <v>69.3843219580371</v>
      </c>
      <c r="G549" s="31" t="n">
        <f aca="false">IFERROR(F549-E549,"n/a")</f>
        <v>0.00432195803705326</v>
      </c>
      <c r="H549" s="42" t="n">
        <v>0.005000001</v>
      </c>
      <c r="I549" s="60" t="str">
        <f aca="false">IFERROR(IF(ABS(F549-E549)&lt;=H549,"PASS","FAIL"),"FAIL")</f>
        <v>PASS</v>
      </c>
    </row>
    <row r="550" customFormat="false" ht="15" hidden="false" customHeight="false" outlineLevel="0" collapsed="false">
      <c r="B550" s="61" t="n">
        <v>542</v>
      </c>
      <c r="C550" s="9" t="s">
        <v>1260</v>
      </c>
      <c r="D550" s="9" t="s">
        <v>1264</v>
      </c>
      <c r="E550" s="11" t="n">
        <v>-0.195</v>
      </c>
      <c r="F550" s="62" t="n">
        <f aca="false">Scenarios!$D$9</f>
        <v>-0.195077471484489</v>
      </c>
      <c r="G550" s="31" t="n">
        <f aca="false">IFERROR(F550-E550,"n/a")</f>
        <v>-7.74714844890556E-005</v>
      </c>
      <c r="H550" s="42" t="n">
        <v>0.000500001</v>
      </c>
      <c r="I550" s="60" t="str">
        <f aca="false">IFERROR(IF(ABS(F550-E550)&lt;=H550,"PASS","FAIL"),"FAIL")</f>
        <v>PASS</v>
      </c>
    </row>
    <row r="551" customFormat="false" ht="15" hidden="false" customHeight="false" outlineLevel="0" collapsed="false">
      <c r="B551" s="61" t="n">
        <v>543</v>
      </c>
      <c r="C551" s="9" t="s">
        <v>1260</v>
      </c>
      <c r="D551" s="9" t="s">
        <v>1265</v>
      </c>
      <c r="E551" s="24" t="n">
        <v>4.4</v>
      </c>
      <c r="F551" s="55" t="n">
        <f aca="false">Scenarios!$E$5</f>
        <v>4.398415616</v>
      </c>
      <c r="G551" s="31" t="n">
        <f aca="false">IFERROR(F551-E551,"n/a")</f>
        <v>-0.00158438399999916</v>
      </c>
      <c r="H551" s="42" t="n">
        <v>0.005000001</v>
      </c>
      <c r="I551" s="60" t="str">
        <f aca="false">IFERROR(IF(ABS(F551-E551)&lt;=H551,"PASS","FAIL"),"FAIL")</f>
        <v>PASS</v>
      </c>
    </row>
    <row r="552" customFormat="false" ht="15" hidden="false" customHeight="false" outlineLevel="0" collapsed="false">
      <c r="B552" s="61" t="n">
        <v>544</v>
      </c>
      <c r="C552" s="9" t="s">
        <v>1260</v>
      </c>
      <c r="D552" s="9" t="s">
        <v>1266</v>
      </c>
      <c r="E552" s="24" t="n">
        <v>5.06</v>
      </c>
      <c r="F552" s="55" t="n">
        <f aca="false">Scenarios!$E$6</f>
        <v>5.05801284230324</v>
      </c>
      <c r="G552" s="31" t="n">
        <f aca="false">IFERROR(F552-E552,"n/a")</f>
        <v>-0.00198715769676472</v>
      </c>
      <c r="H552" s="42" t="n">
        <v>0.005000001</v>
      </c>
      <c r="I552" s="60" t="str">
        <f aca="false">IFERROR(IF(ABS(F552-E552)&lt;=H552,"PASS","FAIL"),"FAIL")</f>
        <v>PASS</v>
      </c>
    </row>
    <row r="553" customFormat="false" ht="15" hidden="false" customHeight="false" outlineLevel="0" collapsed="false">
      <c r="B553" s="61" t="n">
        <v>545</v>
      </c>
      <c r="C553" s="9" t="s">
        <v>1260</v>
      </c>
      <c r="D553" s="9" t="s">
        <v>1267</v>
      </c>
      <c r="E553" s="24" t="n">
        <v>101.16</v>
      </c>
      <c r="F553" s="55" t="n">
        <f aca="false">Scenarios!$E$8</f>
        <v>101.160256846065</v>
      </c>
      <c r="G553" s="31" t="n">
        <f aca="false">IFERROR(F553-E553,"n/a")</f>
        <v>0.000256846064701222</v>
      </c>
      <c r="H553" s="42" t="n">
        <v>0.005000001</v>
      </c>
      <c r="I553" s="60" t="str">
        <f aca="false">IFERROR(IF(ABS(F553-E553)&lt;=H553,"PASS","FAIL"),"FAIL")</f>
        <v>PASS</v>
      </c>
    </row>
    <row r="554" customFormat="false" ht="15" hidden="false" customHeight="false" outlineLevel="0" collapsed="false">
      <c r="B554" s="61" t="n">
        <v>546</v>
      </c>
      <c r="C554" s="9" t="s">
        <v>1260</v>
      </c>
      <c r="D554" s="9" t="s">
        <v>1268</v>
      </c>
      <c r="E554" s="11" t="n">
        <v>0.174</v>
      </c>
      <c r="F554" s="62" t="n">
        <f aca="false">Scenarios!$E$9</f>
        <v>0.173552863643442</v>
      </c>
      <c r="G554" s="31" t="n">
        <f aca="false">IFERROR(F554-E554,"n/a")</f>
        <v>-0.000447136356557964</v>
      </c>
      <c r="H554" s="42" t="n">
        <v>0.000500001</v>
      </c>
      <c r="I554" s="60" t="str">
        <f aca="false">IFERROR(IF(ABS(F554-E554)&lt;=H554,"PASS","FAIL"),"FAIL")</f>
        <v>PASS</v>
      </c>
    </row>
    <row r="555" customFormat="false" ht="15" hidden="false" customHeight="false" outlineLevel="0" collapsed="false">
      <c r="B555" s="61" t="n">
        <v>547</v>
      </c>
      <c r="C555" s="9" t="s">
        <v>1260</v>
      </c>
      <c r="D555" s="9" t="s">
        <v>1269</v>
      </c>
      <c r="E555" s="24" t="n">
        <v>4.65</v>
      </c>
      <c r="F555" s="55" t="n">
        <f aca="false">Scenarios!$F$5</f>
        <v>4.64564492</v>
      </c>
      <c r="G555" s="31" t="n">
        <f aca="false">IFERROR(F555-E555,"n/a")</f>
        <v>-0.00435507999999985</v>
      </c>
      <c r="H555" s="42" t="n">
        <v>0.005000001</v>
      </c>
      <c r="I555" s="60" t="str">
        <f aca="false">IFERROR(IF(ABS(F555-E555)&lt;=H555,"PASS","FAIL"),"FAIL")</f>
        <v>PASS</v>
      </c>
    </row>
    <row r="556" customFormat="false" ht="15" hidden="false" customHeight="false" outlineLevel="0" collapsed="false">
      <c r="B556" s="61" t="n">
        <v>548</v>
      </c>
      <c r="C556" s="9" t="s">
        <v>1260</v>
      </c>
      <c r="D556" s="9" t="s">
        <v>1270</v>
      </c>
      <c r="E556" s="24" t="n">
        <v>5.5</v>
      </c>
      <c r="F556" s="55" t="n">
        <f aca="false">Scenarios!$F$6</f>
        <v>5.4978702825568</v>
      </c>
      <c r="G556" s="31" t="n">
        <f aca="false">IFERROR(F556-E556,"n/a")</f>
        <v>-0.00212971744320001</v>
      </c>
      <c r="H556" s="42" t="n">
        <v>0.005000001</v>
      </c>
      <c r="I556" s="60" t="str">
        <f aca="false">IFERROR(IF(ABS(F556-E556)&lt;=H556,"PASS","FAIL"),"FAIL")</f>
        <v>PASS</v>
      </c>
    </row>
    <row r="557" customFormat="false" ht="15" hidden="false" customHeight="false" outlineLevel="0" collapsed="false">
      <c r="B557" s="61" t="n">
        <v>549</v>
      </c>
      <c r="C557" s="9" t="s">
        <v>1260</v>
      </c>
      <c r="D557" s="9" t="s">
        <v>1271</v>
      </c>
      <c r="E557" s="24" t="n">
        <v>126.45</v>
      </c>
      <c r="F557" s="55" t="n">
        <f aca="false">Scenarios!$F$8</f>
        <v>126.451016498806</v>
      </c>
      <c r="G557" s="31" t="n">
        <f aca="false">IFERROR(F557-E557,"n/a")</f>
        <v>0.00101649880639343</v>
      </c>
      <c r="H557" s="42" t="n">
        <v>0.005000001</v>
      </c>
      <c r="I557" s="60" t="str">
        <f aca="false">IFERROR(IF(ABS(F557-E557)&lt;=H557,"PASS","FAIL"),"FAIL")</f>
        <v>PASS</v>
      </c>
    </row>
    <row r="558" customFormat="false" ht="15" hidden="false" customHeight="false" outlineLevel="0" collapsed="false">
      <c r="B558" s="61" t="n">
        <v>550</v>
      </c>
      <c r="C558" s="9" t="s">
        <v>1260</v>
      </c>
      <c r="D558" s="9" t="s">
        <v>1272</v>
      </c>
      <c r="E558" s="11" t="n">
        <v>0.467</v>
      </c>
      <c r="F558" s="62" t="n">
        <f aca="false">Scenarios!$F$9</f>
        <v>0.46694914731794</v>
      </c>
      <c r="G558" s="31" t="n">
        <f aca="false">IFERROR(F558-E558,"n/a")</f>
        <v>-5.08526820603428E-005</v>
      </c>
      <c r="H558" s="42" t="n">
        <v>0.000500001</v>
      </c>
      <c r="I558" s="60" t="str">
        <f aca="false">IFERROR(IF(ABS(F558-E558)&lt;=H558,"PASS","FAIL"),"FAIL")</f>
        <v>PASS</v>
      </c>
    </row>
    <row r="559" customFormat="false" ht="15" hidden="false" customHeight="false" outlineLevel="0" collapsed="false">
      <c r="B559" s="61" t="n">
        <v>551</v>
      </c>
      <c r="C559" s="9" t="s">
        <v>1260</v>
      </c>
      <c r="D559" s="9" t="s">
        <v>289</v>
      </c>
      <c r="E559" s="24" t="n">
        <v>99.54</v>
      </c>
      <c r="F559" s="55" t="n">
        <f aca="false">Scenarios!$D$13</f>
        <v>99.5389630372432</v>
      </c>
      <c r="G559" s="31" t="n">
        <f aca="false">IFERROR(F559-E559,"n/a")</f>
        <v>-0.00103696275679965</v>
      </c>
      <c r="H559" s="42" t="n">
        <v>0.005000001</v>
      </c>
      <c r="I559" s="60" t="str">
        <f aca="false">IFERROR(IF(ABS(F559-E559)&lt;=H559,"PASS","FAIL"),"FAIL")</f>
        <v>PASS</v>
      </c>
    </row>
    <row r="560" customFormat="false" ht="15" hidden="false" customHeight="false" outlineLevel="0" collapsed="false">
      <c r="B560" s="61" t="n">
        <v>552</v>
      </c>
      <c r="C560" s="9" t="s">
        <v>1260</v>
      </c>
      <c r="D560" s="9" t="s">
        <v>1273</v>
      </c>
      <c r="E560" s="11" t="n">
        <v>0.155</v>
      </c>
      <c r="F560" s="62" t="n">
        <f aca="false">Scenarios!$D$14</f>
        <v>0.154744350780084</v>
      </c>
      <c r="G560" s="31" t="n">
        <f aca="false">IFERROR(F560-E560,"n/a")</f>
        <v>-0.00025564921991636</v>
      </c>
      <c r="H560" s="42" t="n">
        <v>0.000500001</v>
      </c>
      <c r="I560" s="60" t="str">
        <f aca="false">IFERROR(IF(ABS(F560-E560)&lt;=H560,"PASS","FAIL"),"FAIL")</f>
        <v>PASS</v>
      </c>
    </row>
    <row r="561" customFormat="false" ht="15" hidden="false" customHeight="false" outlineLevel="0" collapsed="false">
      <c r="B561" s="61" t="n">
        <v>553</v>
      </c>
      <c r="C561" s="9" t="s">
        <v>1260</v>
      </c>
      <c r="D561" s="9" t="s">
        <v>1274</v>
      </c>
      <c r="E561" s="24" t="n">
        <v>2.39</v>
      </c>
      <c r="F561" s="55" t="n">
        <f aca="false">Scenarios!$D$15</f>
        <v>2.39366003549553</v>
      </c>
      <c r="G561" s="31" t="n">
        <f aca="false">IFERROR(F561-E561,"n/a")</f>
        <v>0.00366003549552651</v>
      </c>
      <c r="H561" s="42" t="n">
        <v>0.005000001</v>
      </c>
      <c r="I561" s="60" t="str">
        <f aca="false">IFERROR(IF(ABS(F561-E561)&lt;=H561,"PASS","FAIL"),"FAIL")</f>
        <v>PASS</v>
      </c>
    </row>
    <row r="562" customFormat="false" ht="15" hidden="false" customHeight="false" outlineLevel="0" collapsed="false">
      <c r="B562" s="61" t="n">
        <v>554</v>
      </c>
      <c r="C562" s="9" t="s">
        <v>459</v>
      </c>
      <c r="D562" s="9" t="s">
        <v>1275</v>
      </c>
      <c r="E562" s="24" t="n">
        <v>4.31</v>
      </c>
      <c r="F562" s="55" t="n">
        <f aca="false">Consensus!$D$17</f>
        <v>4.31111111111111</v>
      </c>
      <c r="G562" s="31" t="n">
        <f aca="false">IFERROR(F562-E562,"n/a")</f>
        <v>0.00111111111111128</v>
      </c>
      <c r="H562" s="42" t="n">
        <v>0.005000001</v>
      </c>
      <c r="I562" s="60" t="str">
        <f aca="false">IFERROR(IF(ABS(F562-E562)&lt;=H562,"PASS","FAIL"),"FAIL")</f>
        <v>PASS</v>
      </c>
    </row>
    <row r="563" customFormat="false" ht="15" hidden="false" customHeight="false" outlineLevel="0" collapsed="false">
      <c r="B563" s="61" t="n">
        <v>555</v>
      </c>
      <c r="C563" s="9" t="s">
        <v>459</v>
      </c>
      <c r="D563" s="9" t="s">
        <v>1276</v>
      </c>
      <c r="E563" s="24" t="n">
        <v>4.32</v>
      </c>
      <c r="F563" s="55" t="n">
        <f aca="false">Consensus!$D$18</f>
        <v>4.32</v>
      </c>
      <c r="G563" s="31" t="n">
        <f aca="false">IFERROR(F563-E563,"n/a")</f>
        <v>0</v>
      </c>
      <c r="H563" s="42" t="n">
        <v>0.005000001</v>
      </c>
      <c r="I563" s="60" t="str">
        <f aca="false">IFERROR(IF(ABS(F563-E563)&lt;=H563,"PASS","FAIL"),"FAIL")</f>
        <v>PASS</v>
      </c>
    </row>
    <row r="564" customFormat="false" ht="15" hidden="false" customHeight="false" outlineLevel="0" collapsed="false">
      <c r="B564" s="61" t="n">
        <v>556</v>
      </c>
      <c r="C564" s="9" t="s">
        <v>459</v>
      </c>
      <c r="D564" s="9" t="s">
        <v>1277</v>
      </c>
      <c r="E564" s="24" t="n">
        <v>4.49</v>
      </c>
      <c r="F564" s="55" t="n">
        <f aca="false">Consensus!$D$19</f>
        <v>4.49</v>
      </c>
      <c r="G564" s="31" t="n">
        <f aca="false">IFERROR(F564-E564,"n/a")</f>
        <v>0</v>
      </c>
      <c r="H564" s="42" t="n">
        <v>0.005000001</v>
      </c>
      <c r="I564" s="60" t="str">
        <f aca="false">IFERROR(IF(ABS(F564-E564)&lt;=H564,"PASS","FAIL"),"FAIL")</f>
        <v>PASS</v>
      </c>
    </row>
    <row r="565" customFormat="false" ht="15" hidden="false" customHeight="false" outlineLevel="0" collapsed="false">
      <c r="B565" s="61" t="n">
        <v>557</v>
      </c>
      <c r="C565" s="9" t="s">
        <v>459</v>
      </c>
      <c r="D565" s="9" t="s">
        <v>1278</v>
      </c>
      <c r="E565" s="24" t="n">
        <v>4.09</v>
      </c>
      <c r="F565" s="55" t="n">
        <f aca="false">Consensus!$D$20</f>
        <v>4.09</v>
      </c>
      <c r="G565" s="31" t="n">
        <f aca="false">IFERROR(F565-E565,"n/a")</f>
        <v>0</v>
      </c>
      <c r="H565" s="42" t="n">
        <v>0.005000001</v>
      </c>
      <c r="I565" s="60" t="str">
        <f aca="false">IFERROR(IF(ABS(F565-E565)&lt;=H565,"PASS","FAIL"),"FAIL")</f>
        <v>PASS</v>
      </c>
    </row>
    <row r="566" customFormat="false" ht="15" hidden="false" customHeight="false" outlineLevel="0" collapsed="false">
      <c r="B566" s="61" t="n">
        <v>558</v>
      </c>
      <c r="C566" s="9" t="s">
        <v>459</v>
      </c>
      <c r="D566" s="9" t="s">
        <v>1279</v>
      </c>
      <c r="E566" s="63" t="n">
        <v>0.119</v>
      </c>
      <c r="F566" s="58" t="n">
        <f aca="false">Consensus!$D$21</f>
        <v>0.118550921496437</v>
      </c>
      <c r="G566" s="31" t="n">
        <f aca="false">IFERROR(F566-E566,"n/a")</f>
        <v>-0.000449078503563072</v>
      </c>
      <c r="H566" s="42" t="n">
        <v>0.000500001</v>
      </c>
      <c r="I566" s="60" t="str">
        <f aca="false">IFERROR(IF(ABS(F566-E566)&lt;=H566,"PASS","FAIL"),"FAIL")</f>
        <v>PASS</v>
      </c>
    </row>
    <row r="567" customFormat="false" ht="15" hidden="false" customHeight="false" outlineLevel="0" collapsed="false">
      <c r="B567" s="61" t="n">
        <v>559</v>
      </c>
      <c r="C567" s="9" t="s">
        <v>459</v>
      </c>
      <c r="D567" s="9" t="s">
        <v>1280</v>
      </c>
      <c r="E567" s="24" t="n">
        <v>4.81</v>
      </c>
      <c r="F567" s="55" t="n">
        <f aca="false">Consensus!$D$22</f>
        <v>4.81444444444444</v>
      </c>
      <c r="G567" s="31" t="n">
        <f aca="false">IFERROR(F567-E567,"n/a")</f>
        <v>0.00444444444444425</v>
      </c>
      <c r="H567" s="42" t="n">
        <v>0.005000001</v>
      </c>
      <c r="I567" s="60" t="str">
        <f aca="false">IFERROR(IF(ABS(F567-E567)&lt;=H567,"PASS","FAIL"),"FAIL")</f>
        <v>PASS</v>
      </c>
    </row>
    <row r="568" customFormat="false" ht="15" hidden="false" customHeight="false" outlineLevel="0" collapsed="false">
      <c r="B568" s="61" t="n">
        <v>560</v>
      </c>
      <c r="C568" s="9" t="s">
        <v>459</v>
      </c>
      <c r="D568" s="9" t="s">
        <v>1281</v>
      </c>
      <c r="E568" s="24" t="n">
        <v>4.81</v>
      </c>
      <c r="F568" s="55" t="n">
        <f aca="false">Consensus!$D$23</f>
        <v>4.81</v>
      </c>
      <c r="G568" s="31" t="n">
        <f aca="false">IFERROR(F568-E568,"n/a")</f>
        <v>0</v>
      </c>
      <c r="H568" s="42" t="n">
        <v>0.005000001</v>
      </c>
      <c r="I568" s="60" t="str">
        <f aca="false">IFERROR(IF(ABS(F568-E568)&lt;=H568,"PASS","FAIL"),"FAIL")</f>
        <v>PASS</v>
      </c>
    </row>
    <row r="569" customFormat="false" ht="15" hidden="false" customHeight="false" outlineLevel="0" collapsed="false">
      <c r="B569" s="61" t="n">
        <v>561</v>
      </c>
      <c r="C569" s="9" t="s">
        <v>459</v>
      </c>
      <c r="D569" s="9" t="s">
        <v>1282</v>
      </c>
      <c r="E569" s="24" t="n">
        <v>5.1</v>
      </c>
      <c r="F569" s="55" t="n">
        <f aca="false">Consensus!$D$24</f>
        <v>5.1</v>
      </c>
      <c r="G569" s="31" t="n">
        <f aca="false">IFERROR(F569-E569,"n/a")</f>
        <v>0</v>
      </c>
      <c r="H569" s="42" t="n">
        <v>0.005000001</v>
      </c>
      <c r="I569" s="60" t="str">
        <f aca="false">IFERROR(IF(ABS(F569-E569)&lt;=H569,"PASS","FAIL"),"FAIL")</f>
        <v>PASS</v>
      </c>
    </row>
    <row r="570" customFormat="false" ht="15" hidden="false" customHeight="false" outlineLevel="0" collapsed="false">
      <c r="B570" s="61" t="n">
        <v>562</v>
      </c>
      <c r="C570" s="9" t="s">
        <v>459</v>
      </c>
      <c r="D570" s="9" t="s">
        <v>1283</v>
      </c>
      <c r="E570" s="24" t="n">
        <v>4.5</v>
      </c>
      <c r="F570" s="55" t="n">
        <f aca="false">Consensus!$D$25</f>
        <v>4.5</v>
      </c>
      <c r="G570" s="31" t="n">
        <f aca="false">IFERROR(F570-E570,"n/a")</f>
        <v>0</v>
      </c>
      <c r="H570" s="42" t="n">
        <v>0.005000001</v>
      </c>
      <c r="I570" s="60" t="str">
        <f aca="false">IFERROR(IF(ABS(F570-E570)&lt;=H570,"PASS","FAIL"),"FAIL")</f>
        <v>PASS</v>
      </c>
    </row>
    <row r="571" customFormat="false" ht="15" hidden="false" customHeight="false" outlineLevel="0" collapsed="false">
      <c r="B571" s="61" t="n">
        <v>563</v>
      </c>
      <c r="C571" s="9" t="s">
        <v>459</v>
      </c>
      <c r="D571" s="9" t="s">
        <v>1284</v>
      </c>
      <c r="E571" s="63" t="n">
        <v>0.174</v>
      </c>
      <c r="F571" s="58" t="n">
        <f aca="false">Consensus!$D$26</f>
        <v>0.174426750695026</v>
      </c>
      <c r="G571" s="31" t="n">
        <f aca="false">IFERROR(F571-E571,"n/a")</f>
        <v>0.000426750695025735</v>
      </c>
      <c r="H571" s="42" t="n">
        <v>0.000500001</v>
      </c>
      <c r="I571" s="60" t="str">
        <f aca="false">IFERROR(IF(ABS(F571-E571)&lt;=H571,"PASS","FAIL"),"FAIL")</f>
        <v>PASS</v>
      </c>
    </row>
    <row r="572" customFormat="false" ht="15" hidden="false" customHeight="false" outlineLevel="0" collapsed="false">
      <c r="B572" s="61" t="n">
        <v>564</v>
      </c>
      <c r="C572" s="9" t="s">
        <v>459</v>
      </c>
      <c r="D572" s="9" t="s">
        <v>1285</v>
      </c>
      <c r="E572" s="64" t="n">
        <v>2311</v>
      </c>
      <c r="F572" s="34" t="n">
        <f aca="false">Consensus!$D$27</f>
        <v>2310.66666666667</v>
      </c>
      <c r="G572" s="31" t="n">
        <f aca="false">IFERROR(F572-E572,"n/a")</f>
        <v>-0.333333333333485</v>
      </c>
      <c r="H572" s="42" t="n">
        <v>0.500000001</v>
      </c>
      <c r="I572" s="60" t="str">
        <f aca="false">IFERROR(IF(ABS(F572-E572)&lt;=H572,"PASS","FAIL"),"FAIL")</f>
        <v>PASS</v>
      </c>
    </row>
    <row r="573" customFormat="false" ht="15" hidden="false" customHeight="false" outlineLevel="0" collapsed="false">
      <c r="B573" s="61" t="n">
        <v>565</v>
      </c>
      <c r="C573" s="9" t="s">
        <v>459</v>
      </c>
      <c r="D573" s="9" t="s">
        <v>1286</v>
      </c>
      <c r="E573" s="64" t="n">
        <v>7</v>
      </c>
      <c r="F573" s="34" t="n">
        <f aca="false">Consensus!$D$30</f>
        <v>7</v>
      </c>
      <c r="G573" s="31" t="n">
        <f aca="false">IFERROR(F573-E573,"n/a")</f>
        <v>0</v>
      </c>
      <c r="H573" s="42" t="n">
        <v>0.500000001</v>
      </c>
      <c r="I573" s="60" t="str">
        <f aca="false">IFERROR(IF(ABS(F573-E573)&lt;=H573,"PASS","FAIL"),"FAIL")</f>
        <v>PASS</v>
      </c>
    </row>
    <row r="574" customFormat="false" ht="15" hidden="false" customHeight="false" outlineLevel="0" collapsed="false">
      <c r="B574" s="61" t="n">
        <v>566</v>
      </c>
      <c r="C574" s="9" t="s">
        <v>459</v>
      </c>
      <c r="D574" s="9" t="s">
        <v>1287</v>
      </c>
      <c r="E574" s="24" t="n">
        <v>4.36</v>
      </c>
      <c r="F574" s="55" t="n">
        <f aca="false">Consensus!$D$32</f>
        <v>4.36285714285714</v>
      </c>
      <c r="G574" s="31" t="n">
        <f aca="false">IFERROR(F574-E574,"n/a")</f>
        <v>0.00285714285714267</v>
      </c>
      <c r="H574" s="42" t="n">
        <v>0.005000001</v>
      </c>
      <c r="I574" s="60" t="str">
        <f aca="false">IFERROR(IF(ABS(F574-E574)&lt;=H574,"PASS","FAIL"),"FAIL")</f>
        <v>PASS</v>
      </c>
    </row>
    <row r="575" customFormat="false" ht="15" hidden="false" customHeight="false" outlineLevel="0" collapsed="false">
      <c r="B575" s="61" t="n">
        <v>567</v>
      </c>
      <c r="C575" s="9" t="s">
        <v>459</v>
      </c>
      <c r="D575" s="9" t="s">
        <v>1288</v>
      </c>
      <c r="E575" s="63" t="n">
        <v>0.075</v>
      </c>
      <c r="F575" s="58" t="n">
        <f aca="false">Consensus!$D$33</f>
        <v>0.0745872998983237</v>
      </c>
      <c r="G575" s="31" t="n">
        <f aca="false">IFERROR(F575-E575,"n/a")</f>
        <v>-0.000412700101676336</v>
      </c>
      <c r="H575" s="42" t="n">
        <v>0.000500001</v>
      </c>
      <c r="I575" s="60" t="str">
        <f aca="false">IFERROR(IF(ABS(F575-E575)&lt;=H575,"PASS","FAIL"),"FAIL")</f>
        <v>PASS</v>
      </c>
    </row>
    <row r="576" customFormat="false" ht="15" hidden="false" customHeight="false" outlineLevel="0" collapsed="false">
      <c r="B576" s="61" t="n">
        <v>568</v>
      </c>
      <c r="C576" s="9" t="s">
        <v>459</v>
      </c>
      <c r="D576" s="9" t="s">
        <v>1289</v>
      </c>
      <c r="E576" s="24" t="n">
        <v>4.89</v>
      </c>
      <c r="F576" s="55" t="n">
        <f aca="false">Consensus!$D$34</f>
        <v>4.88714285714286</v>
      </c>
      <c r="G576" s="31" t="n">
        <f aca="false">IFERROR(F576-E576,"n/a")</f>
        <v>-0.00285714285714267</v>
      </c>
      <c r="H576" s="42" t="n">
        <v>0.005000001</v>
      </c>
      <c r="I576" s="60" t="str">
        <f aca="false">IFERROR(IF(ABS(F576-E576)&lt;=H576,"PASS","FAIL"),"FAIL")</f>
        <v>PASS</v>
      </c>
    </row>
    <row r="577" customFormat="false" ht="15" hidden="false" customHeight="false" outlineLevel="0" collapsed="false">
      <c r="B577" s="61" t="n">
        <v>569</v>
      </c>
      <c r="C577" s="9" t="s">
        <v>459</v>
      </c>
      <c r="D577" s="9" t="s">
        <v>1290</v>
      </c>
      <c r="E577" s="63" t="n">
        <v>0.12</v>
      </c>
      <c r="F577" s="58" t="n">
        <f aca="false">Consensus!$D$35</f>
        <v>0.119608203936768</v>
      </c>
      <c r="G577" s="31" t="n">
        <f aca="false">IFERROR(F577-E577,"n/a")</f>
        <v>-0.000391796063231697</v>
      </c>
      <c r="H577" s="42" t="n">
        <v>0.000500001</v>
      </c>
      <c r="I577" s="60" t="str">
        <f aca="false">IFERROR(IF(ABS(F577-E577)&lt;=H577,"PASS","FAIL"),"FAIL")</f>
        <v>PASS</v>
      </c>
    </row>
    <row r="578" customFormat="false" ht="15" hidden="false" customHeight="false" outlineLevel="0" collapsed="false">
      <c r="B578" s="61" t="n">
        <v>570</v>
      </c>
      <c r="C578" s="9" t="s">
        <v>459</v>
      </c>
      <c r="D578" s="9" t="s">
        <v>1291</v>
      </c>
      <c r="E578" s="12" t="n">
        <v>2319.6</v>
      </c>
      <c r="F578" s="56" t="n">
        <f aca="false">Consensus!$D$36</f>
        <v>2319.57142857143</v>
      </c>
      <c r="G578" s="31" t="n">
        <f aca="false">IFERROR(F578-E578,"n/a")</f>
        <v>-0.0285714285714676</v>
      </c>
      <c r="H578" s="42" t="n">
        <v>0.050000001</v>
      </c>
      <c r="I578" s="60" t="str">
        <f aca="false">IFERROR(IF(ABS(F578-E578)&lt;=H578,"PASS","FAIL"),"FAIL")</f>
        <v>PASS</v>
      </c>
    </row>
    <row r="579" customFormat="false" ht="15" hidden="false" customHeight="false" outlineLevel="0" collapsed="false">
      <c r="B579" s="61" t="n">
        <v>571</v>
      </c>
      <c r="C579" s="9" t="s">
        <v>459</v>
      </c>
      <c r="D579" s="9" t="s">
        <v>1292</v>
      </c>
      <c r="E579" s="11" t="n">
        <v>0.008</v>
      </c>
      <c r="F579" s="62" t="n">
        <f aca="false">Consensus!$D$40</f>
        <v>0.00815027216764919</v>
      </c>
      <c r="G579" s="31" t="n">
        <f aca="false">IFERROR(F579-E579,"n/a")</f>
        <v>0.000150272167649186</v>
      </c>
      <c r="H579" s="42" t="n">
        <v>0.000500001</v>
      </c>
      <c r="I579" s="60" t="str">
        <f aca="false">IFERROR(IF(ABS(F579-E579)&lt;=H579,"PASS","FAIL"),"FAIL")</f>
        <v>PASS</v>
      </c>
    </row>
    <row r="580" customFormat="false" ht="15" hidden="false" customHeight="false" outlineLevel="0" collapsed="false">
      <c r="B580" s="61" t="n">
        <v>572</v>
      </c>
      <c r="C580" s="9" t="s">
        <v>459</v>
      </c>
      <c r="D580" s="9" t="s">
        <v>1293</v>
      </c>
      <c r="E580" s="24" t="n">
        <v>0.48</v>
      </c>
      <c r="F580" s="55" t="n">
        <f aca="false">Consensus!$D$41</f>
        <v>0.47673629681368</v>
      </c>
      <c r="G580" s="31" t="n">
        <f aca="false">IFERROR(F580-E580,"n/a")</f>
        <v>-0.00326370318631986</v>
      </c>
      <c r="H580" s="42" t="n">
        <v>0.005000001</v>
      </c>
      <c r="I580" s="60" t="str">
        <f aca="false">IFERROR(IF(ABS(F580-E580)&lt;=H580,"PASS","FAIL"),"FAIL")</f>
        <v>PASS</v>
      </c>
    </row>
    <row r="581" customFormat="false" ht="15" hidden="false" customHeight="false" outlineLevel="0" collapsed="false">
      <c r="B581" s="61" t="n">
        <v>573</v>
      </c>
      <c r="C581" s="9" t="s">
        <v>459</v>
      </c>
      <c r="D581" s="9" t="s">
        <v>1294</v>
      </c>
      <c r="E581" s="11" t="n">
        <v>0.035</v>
      </c>
      <c r="F581" s="62" t="n">
        <f aca="false">Consensus!$D$43</f>
        <v>0.0349631656276717</v>
      </c>
      <c r="G581" s="31" t="n">
        <f aca="false">IFERROR(F581-E581,"n/a")</f>
        <v>-3.68343723283482E-005</v>
      </c>
      <c r="H581" s="42" t="n">
        <v>0.000500001</v>
      </c>
      <c r="I581" s="60" t="str">
        <f aca="false">IFERROR(IF(ABS(F581-E581)&lt;=H581,"PASS","FAIL"),"FAIL")</f>
        <v>PASS</v>
      </c>
    </row>
    <row r="582" customFormat="false" ht="15" hidden="false" customHeight="false" outlineLevel="0" collapsed="false">
      <c r="B582" s="61" t="n">
        <v>574</v>
      </c>
      <c r="C582" s="9" t="s">
        <v>459</v>
      </c>
      <c r="D582" s="9" t="s">
        <v>1295</v>
      </c>
      <c r="E582" s="24" t="n">
        <v>1.43</v>
      </c>
      <c r="F582" s="55" t="n">
        <f aca="false">Consensus!$D$44</f>
        <v>1.42858081248933</v>
      </c>
      <c r="G582" s="31" t="n">
        <f aca="false">IFERROR(F582-E582,"n/a")</f>
        <v>-0.00141918751067038</v>
      </c>
      <c r="H582" s="42" t="n">
        <v>0.005000001</v>
      </c>
      <c r="I582" s="60" t="str">
        <f aca="false">IFERROR(IF(ABS(F582-E582)&lt;=H582,"PASS","FAIL"),"FAIL")</f>
        <v>PASS</v>
      </c>
    </row>
    <row r="583" customFormat="false" ht="15" hidden="false" customHeight="false" outlineLevel="0" collapsed="false">
      <c r="B583" s="61" t="n">
        <v>575</v>
      </c>
      <c r="C583" s="9" t="s">
        <v>459</v>
      </c>
      <c r="D583" s="9" t="s">
        <v>1296</v>
      </c>
      <c r="E583" s="64" t="n">
        <v>2</v>
      </c>
      <c r="F583" s="34" t="n">
        <f aca="false">Consensus!$D$45</f>
        <v>2</v>
      </c>
      <c r="G583" s="31" t="n">
        <f aca="false">IFERROR(F583-E583,"n/a")</f>
        <v>0</v>
      </c>
      <c r="H583" s="42" t="n">
        <v>0.500000001</v>
      </c>
      <c r="I583" s="60" t="str">
        <f aca="false">IFERROR(IF(ABS(F583-E583)&lt;=H583,"PASS","FAIL"),"FAIL")</f>
        <v>PASS</v>
      </c>
    </row>
    <row r="584" customFormat="false" ht="15" hidden="false" customHeight="false" outlineLevel="0" collapsed="false">
      <c r="B584" s="61" t="n">
        <v>576</v>
      </c>
      <c r="C584" s="9" t="s">
        <v>459</v>
      </c>
      <c r="D584" s="9" t="s">
        <v>1297</v>
      </c>
      <c r="E584" s="64" t="n">
        <v>8</v>
      </c>
      <c r="F584" s="34" t="n">
        <f aca="false">Consensus!$D$46</f>
        <v>8</v>
      </c>
      <c r="G584" s="31" t="n">
        <f aca="false">IFERROR(F584-E584,"n/a")</f>
        <v>0</v>
      </c>
      <c r="H584" s="42" t="n">
        <v>0.500000001</v>
      </c>
      <c r="I584" s="60" t="str">
        <f aca="false">IFERROR(IF(ABS(F584-E584)&lt;=H584,"PASS","FAIL"),"FAIL")</f>
        <v>PASS</v>
      </c>
    </row>
    <row r="585" customFormat="false" ht="15" hidden="false" customHeight="false" outlineLevel="0" collapsed="false">
      <c r="B585" s="61" t="n">
        <v>577</v>
      </c>
      <c r="C585" s="9" t="s">
        <v>459</v>
      </c>
      <c r="D585" s="9" t="s">
        <v>1298</v>
      </c>
      <c r="E585" s="11" t="n">
        <v>0.003</v>
      </c>
      <c r="F585" s="62" t="n">
        <f aca="false">Consensus!$D$47</f>
        <v>0.00284387510008011</v>
      </c>
      <c r="G585" s="31" t="n">
        <f aca="false">IFERROR(F585-E585,"n/a")</f>
        <v>-0.000156124899919893</v>
      </c>
      <c r="H585" s="42" t="n">
        <v>0.000500001</v>
      </c>
      <c r="I585" s="60" t="str">
        <f aca="false">IFERROR(IF(ABS(F585-E585)&lt;=H585,"PASS","FAIL"),"FAIL")</f>
        <v>PASS</v>
      </c>
    </row>
    <row r="586" customFormat="false" ht="15" hidden="false" customHeight="false" outlineLevel="0" collapsed="false">
      <c r="B586" s="61" t="n">
        <v>578</v>
      </c>
      <c r="C586" s="9" t="s">
        <v>459</v>
      </c>
      <c r="D586" s="9" t="s">
        <v>1299</v>
      </c>
      <c r="E586" s="63" t="n">
        <v>4.87</v>
      </c>
      <c r="F586" s="58" t="n">
        <f aca="false">Consensus!$C$64</f>
        <v>4.87039834862385</v>
      </c>
      <c r="G586" s="31" t="n">
        <f aca="false">IFERROR(F586-E586,"n/a")</f>
        <v>0.000398348623853018</v>
      </c>
      <c r="H586" s="42" t="n">
        <v>0.000500001</v>
      </c>
      <c r="I586" s="60" t="str">
        <f aca="false">IFERROR(IF(ABS(F586-E586)&lt;=H586,"PASS","FAIL"),"FAIL")</f>
        <v>PASS</v>
      </c>
    </row>
    <row r="587" customFormat="false" ht="15" hidden="false" customHeight="false" outlineLevel="0" collapsed="false">
      <c r="B587" s="61" t="n">
        <v>579</v>
      </c>
      <c r="C587" s="9" t="s">
        <v>459</v>
      </c>
      <c r="D587" s="9" t="s">
        <v>1300</v>
      </c>
      <c r="E587" s="63" t="n">
        <v>0.071</v>
      </c>
      <c r="F587" s="58" t="n">
        <f aca="false">Consensus!$C$65</f>
        <v>0.0710628688000004</v>
      </c>
      <c r="G587" s="31" t="n">
        <f aca="false">IFERROR(F587-E587,"n/a")</f>
        <v>6.28688000003513E-005</v>
      </c>
      <c r="H587" s="42" t="n">
        <v>0.000500001</v>
      </c>
      <c r="I587" s="60" t="str">
        <f aca="false">IFERROR(IF(ABS(F587-E587)&lt;=H587,"PASS","FAIL"),"FAIL")</f>
        <v>PASS</v>
      </c>
    </row>
    <row r="588" customFormat="false" ht="15" hidden="false" customHeight="false" outlineLevel="0" collapsed="false">
      <c r="B588" s="61" t="n">
        <v>580</v>
      </c>
      <c r="C588" s="9" t="s">
        <v>459</v>
      </c>
      <c r="D588" s="9" t="s">
        <v>1301</v>
      </c>
      <c r="E588" s="63" t="n">
        <v>0.075</v>
      </c>
      <c r="F588" s="58" t="n">
        <f aca="false">Consensus!$C$66</f>
        <v>0.0750715600073386</v>
      </c>
      <c r="G588" s="31" t="n">
        <f aca="false">IFERROR(F588-E588,"n/a")</f>
        <v>7.15600073386141E-005</v>
      </c>
      <c r="H588" s="42" t="n">
        <v>0.000500001</v>
      </c>
      <c r="I588" s="60" t="str">
        <f aca="false">IFERROR(IF(ABS(F588-E588)&lt;=H588,"PASS","FAIL"),"FAIL")</f>
        <v>PASS</v>
      </c>
    </row>
    <row r="589" customFormat="false" ht="15" hidden="false" customHeight="false" outlineLevel="0" collapsed="false">
      <c r="B589" s="61" t="n">
        <v>581</v>
      </c>
      <c r="C589" s="9" t="s">
        <v>459</v>
      </c>
      <c r="D589" s="9" t="s">
        <v>1302</v>
      </c>
      <c r="E589" s="63" t="n">
        <v>0.022</v>
      </c>
      <c r="F589" s="58" t="n">
        <f aca="false">Consensus!$C$67</f>
        <v>0.0215967893284406</v>
      </c>
      <c r="G589" s="31" t="n">
        <f aca="false">IFERROR(F589-E589,"n/a")</f>
        <v>-0.000403210671559441</v>
      </c>
      <c r="H589" s="42" t="n">
        <v>0.000500001</v>
      </c>
      <c r="I589" s="60" t="str">
        <f aca="false">IFERROR(IF(ABS(F589-E589)&lt;=H589,"PASS","FAIL"),"FAIL")</f>
        <v>PASS</v>
      </c>
    </row>
    <row r="590" customFormat="false" ht="15" hidden="false" customHeight="false" outlineLevel="0" collapsed="false">
      <c r="B590" s="61" t="n">
        <v>582</v>
      </c>
      <c r="C590" s="9" t="s">
        <v>459</v>
      </c>
      <c r="D590" s="9" t="s">
        <v>1303</v>
      </c>
      <c r="E590" s="63" t="n">
        <v>0.017</v>
      </c>
      <c r="F590" s="58" t="n">
        <f aca="false">Consensus!$C$68</f>
        <v>0.0170434624557805</v>
      </c>
      <c r="G590" s="31" t="n">
        <f aca="false">IFERROR(F590-E590,"n/a")</f>
        <v>4.34624557804769E-005</v>
      </c>
      <c r="H590" s="42" t="n">
        <v>0.000500001</v>
      </c>
      <c r="I590" s="60" t="str">
        <f aca="false">IFERROR(IF(ABS(F590-E590)&lt;=H590,"PASS","FAIL"),"FAIL")</f>
        <v>PASS</v>
      </c>
    </row>
    <row r="591" customFormat="false" ht="15" hidden="false" customHeight="false" outlineLevel="0" collapsed="false">
      <c r="B591" s="61" t="n">
        <v>583</v>
      </c>
      <c r="C591" s="9" t="s">
        <v>459</v>
      </c>
      <c r="D591" s="9" t="s">
        <v>1304</v>
      </c>
      <c r="E591" s="63" t="n">
        <v>-0.002</v>
      </c>
      <c r="F591" s="58" t="n">
        <f aca="false">Consensus!$C$69</f>
        <v>-0.00213031973988898</v>
      </c>
      <c r="G591" s="31" t="n">
        <f aca="false">IFERROR(F591-E591,"n/a")</f>
        <v>-0.000130319739888975</v>
      </c>
      <c r="H591" s="42" t="n">
        <v>0.000500001</v>
      </c>
      <c r="I591" s="60" t="str">
        <f aca="false">IFERROR(IF(ABS(F591-E591)&lt;=H591,"PASS","FAIL"),"FAIL")</f>
        <v>PASS</v>
      </c>
    </row>
    <row r="592" customFormat="false" ht="15" hidden="false" customHeight="false" outlineLevel="0" collapsed="false">
      <c r="B592" s="61" t="n">
        <v>584</v>
      </c>
      <c r="C592" s="9" t="s">
        <v>459</v>
      </c>
      <c r="D592" s="9" t="s">
        <v>1305</v>
      </c>
      <c r="E592" s="63" t="n">
        <v>0.005</v>
      </c>
      <c r="F592" s="58" t="n">
        <f aca="false">Consensus!$C$70</f>
        <v>0.00497013282771075</v>
      </c>
      <c r="G592" s="31" t="n">
        <f aca="false">IFERROR(F592-E592,"n/a")</f>
        <v>-2.98671722892508E-005</v>
      </c>
      <c r="H592" s="42" t="n">
        <v>0.000500001</v>
      </c>
      <c r="I592" s="60" t="str">
        <f aca="false">IFERROR(IF(ABS(F592-E592)&lt;=H592,"PASS","FAIL"),"FAIL")</f>
        <v>PASS</v>
      </c>
    </row>
    <row r="593" customFormat="false" ht="15" hidden="false" customHeight="false" outlineLevel="0" collapsed="false">
      <c r="B593" s="61" t="n">
        <v>585</v>
      </c>
      <c r="C593" s="9" t="s">
        <v>459</v>
      </c>
      <c r="D593" s="9" t="s">
        <v>1306</v>
      </c>
      <c r="E593" s="63" t="n">
        <v>5.058</v>
      </c>
      <c r="F593" s="58" t="n">
        <f aca="false">Consensus!$C$71</f>
        <v>5.05801284230324</v>
      </c>
      <c r="G593" s="31" t="n">
        <f aca="false">IFERROR(F593-E593,"n/a")</f>
        <v>1.28423032350611E-005</v>
      </c>
      <c r="H593" s="42" t="n">
        <v>0.000500001</v>
      </c>
      <c r="I593" s="60" t="str">
        <f aca="false">IFERROR(IF(ABS(F593-E593)&lt;=H593,"PASS","FAIL"),"FAIL")</f>
        <v>PASS</v>
      </c>
    </row>
    <row r="594" customFormat="false" ht="15" hidden="false" customHeight="false" outlineLevel="0" collapsed="false">
      <c r="B594" s="61" t="n">
        <v>586</v>
      </c>
      <c r="C594" s="9" t="s">
        <v>459</v>
      </c>
      <c r="D594" s="9" t="s">
        <v>1307</v>
      </c>
      <c r="E594" s="63" t="n">
        <v>0.188</v>
      </c>
      <c r="F594" s="58" t="n">
        <f aca="false">Consensus!$C$72</f>
        <v>0.187614493679382</v>
      </c>
      <c r="G594" s="31" t="n">
        <f aca="false">IFERROR(F594-E594,"n/a")</f>
        <v>-0.000385506320618234</v>
      </c>
      <c r="H594" s="42" t="n">
        <v>0.000500001</v>
      </c>
      <c r="I594" s="60" t="str">
        <f aca="false">IFERROR(IF(ABS(F594-E594)&lt;=H594,"PASS","FAIL"),"FAIL")</f>
        <v>PASS</v>
      </c>
    </row>
    <row r="595" customFormat="false" ht="15" hidden="false" customHeight="false" outlineLevel="0" collapsed="false">
      <c r="B595" s="61" t="n">
        <v>587</v>
      </c>
      <c r="C595" s="9" t="s">
        <v>459</v>
      </c>
      <c r="D595" s="9" t="s">
        <v>1308</v>
      </c>
      <c r="E595" s="63" t="n">
        <v>0.146</v>
      </c>
      <c r="F595" s="58" t="n">
        <f aca="false">Consensus!$C$73</f>
        <v>0.146134428807339</v>
      </c>
      <c r="G595" s="31" t="n">
        <f aca="false">IFERROR(F595-E595,"n/a")</f>
        <v>0.000134428807338965</v>
      </c>
      <c r="H595" s="42" t="n">
        <v>0.000500001</v>
      </c>
      <c r="I595" s="60" t="str">
        <f aca="false">IFERROR(IF(ABS(F595-E595)&lt;=H595,"PASS","FAIL"),"FAIL")</f>
        <v>PASS</v>
      </c>
    </row>
    <row r="596" customFormat="false" ht="15" hidden="false" customHeight="false" outlineLevel="0" collapsed="false">
      <c r="B596" s="61" t="n">
        <v>588</v>
      </c>
      <c r="C596" s="9" t="s">
        <v>1309</v>
      </c>
      <c r="D596" s="9" t="s">
        <v>1310</v>
      </c>
      <c r="E596" s="12" t="n">
        <v>272.5</v>
      </c>
      <c r="F596" s="56" t="n">
        <f aca="false">Quarter!$D$5</f>
        <v>272.4778</v>
      </c>
      <c r="G596" s="31" t="n">
        <f aca="false">IFERROR(F596-E596,"n/a")</f>
        <v>-0.022199999999998</v>
      </c>
      <c r="H596" s="42" t="n">
        <v>0.050000001</v>
      </c>
      <c r="I596" s="60" t="str">
        <f aca="false">IFERROR(IF(ABS(F596-E596)&lt;=H596,"PASS","FAIL"),"FAIL")</f>
        <v>PASS</v>
      </c>
    </row>
    <row r="597" customFormat="false" ht="15" hidden="false" customHeight="false" outlineLevel="0" collapsed="false">
      <c r="B597" s="61" t="n">
        <v>589</v>
      </c>
      <c r="C597" s="9" t="s">
        <v>1309</v>
      </c>
      <c r="D597" s="9" t="s">
        <v>1311</v>
      </c>
      <c r="E597" s="12" t="n">
        <v>266</v>
      </c>
      <c r="F597" s="56" t="n">
        <f aca="false">Quarter!$E$5</f>
        <v>266</v>
      </c>
      <c r="G597" s="31" t="n">
        <f aca="false">IFERROR(F597-E597,"n/a")</f>
        <v>0</v>
      </c>
      <c r="H597" s="42" t="n">
        <v>0.050000001</v>
      </c>
      <c r="I597" s="60" t="str">
        <f aca="false">IFERROR(IF(ABS(F597-E597)&lt;=H597,"PASS","FAIL"),"FAIL")</f>
        <v>PASS</v>
      </c>
    </row>
    <row r="598" customFormat="false" ht="15" hidden="false" customHeight="false" outlineLevel="0" collapsed="false">
      <c r="B598" s="61" t="n">
        <v>590</v>
      </c>
      <c r="C598" s="9" t="s">
        <v>1309</v>
      </c>
      <c r="D598" s="9" t="s">
        <v>1312</v>
      </c>
      <c r="E598" s="24" t="n">
        <v>-6.48</v>
      </c>
      <c r="F598" s="55" t="n">
        <f aca="false">Quarter!$F$5</f>
        <v>-6.4778</v>
      </c>
      <c r="G598" s="31" t="n">
        <f aca="false">IFERROR(F598-E598,"n/a")</f>
        <v>0.00219999999999843</v>
      </c>
      <c r="H598" s="42" t="n">
        <v>0.005000001</v>
      </c>
      <c r="I598" s="60" t="str">
        <f aca="false">IFERROR(IF(ABS(F598-E598)&lt;=H598,"PASS","FAIL"),"FAIL")</f>
        <v>PASS</v>
      </c>
    </row>
    <row r="599" customFormat="false" ht="15" hidden="false" customHeight="false" outlineLevel="0" collapsed="false">
      <c r="B599" s="61" t="n">
        <v>591</v>
      </c>
      <c r="C599" s="9" t="s">
        <v>1309</v>
      </c>
      <c r="D599" s="9" t="s">
        <v>1313</v>
      </c>
      <c r="E599" s="11" t="n">
        <v>-0.024</v>
      </c>
      <c r="F599" s="62" t="n">
        <f aca="false">Quarter!$G$5</f>
        <v>-0.0237736799108037</v>
      </c>
      <c r="G599" s="31" t="n">
        <f aca="false">IFERROR(F599-E599,"n/a")</f>
        <v>0.000226320089196298</v>
      </c>
      <c r="H599" s="42" t="n">
        <v>0.000500001</v>
      </c>
      <c r="I599" s="60" t="str">
        <f aca="false">IFERROR(IF(ABS(F599-E599)&lt;=H599,"PASS","FAIL"),"FAIL")</f>
        <v>PASS</v>
      </c>
    </row>
    <row r="600" customFormat="false" ht="15" hidden="false" customHeight="false" outlineLevel="0" collapsed="false">
      <c r="B600" s="61" t="n">
        <v>592</v>
      </c>
      <c r="C600" s="9" t="s">
        <v>1309</v>
      </c>
      <c r="D600" s="9" t="s">
        <v>1314</v>
      </c>
      <c r="E600" s="12" t="n">
        <v>159.9</v>
      </c>
      <c r="F600" s="56" t="n">
        <f aca="false">Quarter!$D$6</f>
        <v>159.9328</v>
      </c>
      <c r="G600" s="31" t="n">
        <f aca="false">IFERROR(F600-E600,"n/a")</f>
        <v>0.0328000000000088</v>
      </c>
      <c r="H600" s="42" t="n">
        <v>0.050000001</v>
      </c>
      <c r="I600" s="60" t="str">
        <f aca="false">IFERROR(IF(ABS(F600-E600)&lt;=H600,"PASS","FAIL"),"FAIL")</f>
        <v>PASS</v>
      </c>
    </row>
    <row r="601" customFormat="false" ht="15" hidden="false" customHeight="false" outlineLevel="0" collapsed="false">
      <c r="B601" s="61" t="n">
        <v>593</v>
      </c>
      <c r="C601" s="9" t="s">
        <v>1309</v>
      </c>
      <c r="D601" s="9" t="s">
        <v>1315</v>
      </c>
      <c r="E601" s="12" t="n">
        <v>165</v>
      </c>
      <c r="F601" s="56" t="n">
        <f aca="false">Quarter!$E$6</f>
        <v>165</v>
      </c>
      <c r="G601" s="31" t="n">
        <f aca="false">IFERROR(F601-E601,"n/a")</f>
        <v>0</v>
      </c>
      <c r="H601" s="42" t="n">
        <v>0.050000001</v>
      </c>
      <c r="I601" s="60" t="str">
        <f aca="false">IFERROR(IF(ABS(F601-E601)&lt;=H601,"PASS","FAIL"),"FAIL")</f>
        <v>PASS</v>
      </c>
    </row>
    <row r="602" customFormat="false" ht="15" hidden="false" customHeight="false" outlineLevel="0" collapsed="false">
      <c r="B602" s="61" t="n">
        <v>594</v>
      </c>
      <c r="C602" s="9" t="s">
        <v>1309</v>
      </c>
      <c r="D602" s="9" t="s">
        <v>1316</v>
      </c>
      <c r="E602" s="24" t="n">
        <v>5.07</v>
      </c>
      <c r="F602" s="55" t="n">
        <f aca="false">Quarter!$F$6</f>
        <v>5.06719999999999</v>
      </c>
      <c r="G602" s="31" t="n">
        <f aca="false">IFERROR(F602-E602,"n/a")</f>
        <v>-0.00280000000001479</v>
      </c>
      <c r="H602" s="42" t="n">
        <v>0.005000001</v>
      </c>
      <c r="I602" s="60" t="str">
        <f aca="false">IFERROR(IF(ABS(F602-E602)&lt;=H602,"PASS","FAIL"),"FAIL")</f>
        <v>PASS</v>
      </c>
    </row>
    <row r="603" customFormat="false" ht="15" hidden="false" customHeight="false" outlineLevel="0" collapsed="false">
      <c r="B603" s="61" t="n">
        <v>595</v>
      </c>
      <c r="C603" s="9" t="s">
        <v>1309</v>
      </c>
      <c r="D603" s="9" t="s">
        <v>1317</v>
      </c>
      <c r="E603" s="11" t="n">
        <v>0.032</v>
      </c>
      <c r="F603" s="62" t="n">
        <f aca="false">Quarter!$G$6</f>
        <v>0.0316833069889353</v>
      </c>
      <c r="G603" s="31" t="n">
        <f aca="false">IFERROR(F603-E603,"n/a")</f>
        <v>-0.000316693011064712</v>
      </c>
      <c r="H603" s="42" t="n">
        <v>0.000500001</v>
      </c>
      <c r="I603" s="60" t="str">
        <f aca="false">IFERROR(IF(ABS(F603-E603)&lt;=H603,"PASS","FAIL"),"FAIL")</f>
        <v>PASS</v>
      </c>
    </row>
    <row r="604" customFormat="false" ht="15" hidden="false" customHeight="false" outlineLevel="0" collapsed="false">
      <c r="B604" s="61" t="n">
        <v>596</v>
      </c>
      <c r="C604" s="9" t="s">
        <v>1309</v>
      </c>
      <c r="D604" s="9" t="s">
        <v>1318</v>
      </c>
      <c r="E604" s="12" t="n">
        <v>113.1</v>
      </c>
      <c r="F604" s="56" t="n">
        <f aca="false">Quarter!$D$7</f>
        <v>113.11872</v>
      </c>
      <c r="G604" s="31" t="n">
        <f aca="false">IFERROR(F604-E604,"n/a")</f>
        <v>0.0187200000000161</v>
      </c>
      <c r="H604" s="42" t="n">
        <v>0.050000001</v>
      </c>
      <c r="I604" s="60" t="str">
        <f aca="false">IFERROR(IF(ABS(F604-E604)&lt;=H604,"PASS","FAIL"),"FAIL")</f>
        <v>PASS</v>
      </c>
    </row>
    <row r="605" customFormat="false" ht="15" hidden="false" customHeight="false" outlineLevel="0" collapsed="false">
      <c r="B605" s="61" t="n">
        <v>597</v>
      </c>
      <c r="C605" s="9" t="s">
        <v>1309</v>
      </c>
      <c r="D605" s="9" t="s">
        <v>1319</v>
      </c>
      <c r="E605" s="12" t="n">
        <v>112.4</v>
      </c>
      <c r="F605" s="56" t="n">
        <f aca="false">Quarter!$E$7</f>
        <v>112.4</v>
      </c>
      <c r="G605" s="31" t="n">
        <f aca="false">IFERROR(F605-E605,"n/a")</f>
        <v>0</v>
      </c>
      <c r="H605" s="42" t="n">
        <v>0.050000001</v>
      </c>
      <c r="I605" s="60" t="str">
        <f aca="false">IFERROR(IF(ABS(F605-E605)&lt;=H605,"PASS","FAIL"),"FAIL")</f>
        <v>PASS</v>
      </c>
    </row>
    <row r="606" customFormat="false" ht="15" hidden="false" customHeight="false" outlineLevel="0" collapsed="false">
      <c r="B606" s="61" t="n">
        <v>598</v>
      </c>
      <c r="C606" s="9" t="s">
        <v>1309</v>
      </c>
      <c r="D606" s="9" t="s">
        <v>1320</v>
      </c>
      <c r="E606" s="24" t="n">
        <v>-0.72</v>
      </c>
      <c r="F606" s="55" t="n">
        <f aca="false">Quarter!$F$7</f>
        <v>-0.718720000000005</v>
      </c>
      <c r="G606" s="31" t="n">
        <f aca="false">IFERROR(F606-E606,"n/a")</f>
        <v>0.00127999999999529</v>
      </c>
      <c r="H606" s="42" t="n">
        <v>0.005000001</v>
      </c>
      <c r="I606" s="60" t="str">
        <f aca="false">IFERROR(IF(ABS(F606-E606)&lt;=H606,"PASS","FAIL"),"FAIL")</f>
        <v>PASS</v>
      </c>
    </row>
    <row r="607" customFormat="false" ht="15" hidden="false" customHeight="false" outlineLevel="0" collapsed="false">
      <c r="B607" s="61" t="n">
        <v>599</v>
      </c>
      <c r="C607" s="9" t="s">
        <v>1309</v>
      </c>
      <c r="D607" s="9" t="s">
        <v>1321</v>
      </c>
      <c r="E607" s="11" t="n">
        <v>-0.006</v>
      </c>
      <c r="F607" s="62" t="n">
        <f aca="false">Quarter!$G$7</f>
        <v>-0.00635367868377579</v>
      </c>
      <c r="G607" s="31" t="n">
        <f aca="false">IFERROR(F607-E607,"n/a")</f>
        <v>-0.000353678683775787</v>
      </c>
      <c r="H607" s="42" t="n">
        <v>0.000500001</v>
      </c>
      <c r="I607" s="60" t="str">
        <f aca="false">IFERROR(IF(ABS(F607-E607)&lt;=H607,"PASS","FAIL"),"FAIL")</f>
        <v>PASS</v>
      </c>
    </row>
    <row r="608" customFormat="false" ht="15" hidden="false" customHeight="false" outlineLevel="0" collapsed="false">
      <c r="B608" s="61" t="n">
        <v>600</v>
      </c>
      <c r="C608" s="9" t="s">
        <v>1309</v>
      </c>
      <c r="D608" s="9" t="s">
        <v>1322</v>
      </c>
      <c r="E608" s="12" t="n">
        <v>545.5</v>
      </c>
      <c r="F608" s="56" t="n">
        <f aca="false">Quarter!$D$8</f>
        <v>545.52932</v>
      </c>
      <c r="G608" s="31" t="n">
        <f aca="false">IFERROR(F608-E608,"n/a")</f>
        <v>0.0293200000000979</v>
      </c>
      <c r="H608" s="42" t="n">
        <v>0.050000001</v>
      </c>
      <c r="I608" s="60" t="str">
        <f aca="false">IFERROR(IF(ABS(F608-E608)&lt;=H608,"PASS","FAIL"),"FAIL")</f>
        <v>PASS</v>
      </c>
    </row>
    <row r="609" customFormat="false" ht="15" hidden="false" customHeight="false" outlineLevel="0" collapsed="false">
      <c r="B609" s="61" t="n">
        <v>601</v>
      </c>
      <c r="C609" s="9" t="s">
        <v>1309</v>
      </c>
      <c r="D609" s="9" t="s">
        <v>1323</v>
      </c>
      <c r="E609" s="12" t="n">
        <v>543.4</v>
      </c>
      <c r="F609" s="56" t="n">
        <f aca="false">Quarter!$E$8</f>
        <v>543.4</v>
      </c>
      <c r="G609" s="31" t="n">
        <f aca="false">IFERROR(F609-E609,"n/a")</f>
        <v>0</v>
      </c>
      <c r="H609" s="42" t="n">
        <v>0.050000001</v>
      </c>
      <c r="I609" s="60" t="str">
        <f aca="false">IFERROR(IF(ABS(F609-E609)&lt;=H609,"PASS","FAIL"),"FAIL")</f>
        <v>PASS</v>
      </c>
    </row>
    <row r="610" customFormat="false" ht="15" hidden="false" customHeight="false" outlineLevel="0" collapsed="false">
      <c r="B610" s="61" t="n">
        <v>602</v>
      </c>
      <c r="C610" s="9" t="s">
        <v>1309</v>
      </c>
      <c r="D610" s="9" t="s">
        <v>1324</v>
      </c>
      <c r="E610" s="24" t="n">
        <v>-2.13</v>
      </c>
      <c r="F610" s="55" t="n">
        <f aca="false">Quarter!$F$8</f>
        <v>-2.12932000000012</v>
      </c>
      <c r="G610" s="31" t="n">
        <f aca="false">IFERROR(F610-E610,"n/a")</f>
        <v>0.000679999999879222</v>
      </c>
      <c r="H610" s="42" t="n">
        <v>0.005000001</v>
      </c>
      <c r="I610" s="60" t="str">
        <f aca="false">IFERROR(IF(ABS(F610-E610)&lt;=H610,"PASS","FAIL"),"FAIL")</f>
        <v>PASS</v>
      </c>
    </row>
    <row r="611" customFormat="false" ht="15" hidden="false" customHeight="false" outlineLevel="0" collapsed="false">
      <c r="B611" s="61" t="n">
        <v>603</v>
      </c>
      <c r="C611" s="9" t="s">
        <v>1309</v>
      </c>
      <c r="D611" s="9" t="s">
        <v>1325</v>
      </c>
      <c r="E611" s="11" t="n">
        <v>-0.004</v>
      </c>
      <c r="F611" s="62" t="n">
        <f aca="false">Quarter!$G$8</f>
        <v>-0.00390321825415385</v>
      </c>
      <c r="G611" s="31" t="n">
        <f aca="false">IFERROR(F611-E611,"n/a")</f>
        <v>9.67817458461494E-005</v>
      </c>
      <c r="H611" s="42" t="n">
        <v>0.000500001</v>
      </c>
      <c r="I611" s="60" t="str">
        <f aca="false">IFERROR(IF(ABS(F611-E611)&lt;=H611,"PASS","FAIL"),"FAIL")</f>
        <v>PASS</v>
      </c>
    </row>
    <row r="612" customFormat="false" ht="15" hidden="false" customHeight="false" outlineLevel="0" collapsed="false">
      <c r="B612" s="61" t="n">
        <v>604</v>
      </c>
      <c r="C612" s="9" t="s">
        <v>1309</v>
      </c>
      <c r="D612" s="9" t="s">
        <v>1326</v>
      </c>
      <c r="E612" s="12" t="n">
        <v>32.7</v>
      </c>
      <c r="F612" s="56" t="n">
        <f aca="false">Quarter!$D$12</f>
        <v>32.697336</v>
      </c>
      <c r="G612" s="31" t="n">
        <f aca="false">IFERROR(F612-E612,"n/a")</f>
        <v>-0.00266400000000289</v>
      </c>
      <c r="H612" s="42" t="n">
        <v>0.050000001</v>
      </c>
      <c r="I612" s="60" t="str">
        <f aca="false">IFERROR(IF(ABS(F612-E612)&lt;=H612,"PASS","FAIL"),"FAIL")</f>
        <v>PASS</v>
      </c>
    </row>
    <row r="613" customFormat="false" ht="15" hidden="false" customHeight="false" outlineLevel="0" collapsed="false">
      <c r="B613" s="61" t="n">
        <v>605</v>
      </c>
      <c r="C613" s="9" t="s">
        <v>1309</v>
      </c>
      <c r="D613" s="9" t="s">
        <v>1327</v>
      </c>
      <c r="E613" s="12" t="n">
        <v>30.3</v>
      </c>
      <c r="F613" s="56" t="n">
        <f aca="false">Quarter!$E$12</f>
        <v>30.324</v>
      </c>
      <c r="G613" s="31" t="n">
        <f aca="false">IFERROR(F613-E613,"n/a")</f>
        <v>0.0240000000000009</v>
      </c>
      <c r="H613" s="42" t="n">
        <v>0.050000001</v>
      </c>
      <c r="I613" s="60" t="str">
        <f aca="false">IFERROR(IF(ABS(F613-E613)&lt;=H613,"PASS","FAIL"),"FAIL")</f>
        <v>PASS</v>
      </c>
    </row>
    <row r="614" customFormat="false" ht="15" hidden="false" customHeight="false" outlineLevel="0" collapsed="false">
      <c r="B614" s="61" t="n">
        <v>606</v>
      </c>
      <c r="C614" s="9" t="s">
        <v>1309</v>
      </c>
      <c r="D614" s="9" t="s">
        <v>1328</v>
      </c>
      <c r="E614" s="24" t="n">
        <v>-2.37</v>
      </c>
      <c r="F614" s="55" t="n">
        <f aca="false">Quarter!$F$12</f>
        <v>-2.373336</v>
      </c>
      <c r="G614" s="31" t="n">
        <f aca="false">IFERROR(F614-E614,"n/a")</f>
        <v>-0.00333599999999823</v>
      </c>
      <c r="H614" s="42" t="n">
        <v>0.005000001</v>
      </c>
      <c r="I614" s="60" t="str">
        <f aca="false">IFERROR(IF(ABS(F614-E614)&lt;=H614,"PASS","FAIL"),"FAIL")</f>
        <v>PASS</v>
      </c>
    </row>
    <row r="615" customFormat="false" ht="15" hidden="false" customHeight="false" outlineLevel="0" collapsed="false">
      <c r="B615" s="61" t="n">
        <v>607</v>
      </c>
      <c r="C615" s="9" t="s">
        <v>1309</v>
      </c>
      <c r="D615" s="9" t="s">
        <v>1329</v>
      </c>
      <c r="E615" s="11" t="n">
        <v>-0.073</v>
      </c>
      <c r="F615" s="62" t="n">
        <f aca="false">Quarter!$G$12</f>
        <v>-0.0725849959152635</v>
      </c>
      <c r="G615" s="31" t="n">
        <f aca="false">IFERROR(F615-E615,"n/a")</f>
        <v>0.000415004084736534</v>
      </c>
      <c r="H615" s="42" t="n">
        <v>0.000500001</v>
      </c>
      <c r="I615" s="60" t="str">
        <f aca="false">IFERROR(IF(ABS(F615-E615)&lt;=H615,"PASS","FAIL"),"FAIL")</f>
        <v>PASS</v>
      </c>
    </row>
    <row r="616" customFormat="false" ht="15" hidden="false" customHeight="false" outlineLevel="0" collapsed="false">
      <c r="B616" s="61" t="n">
        <v>608</v>
      </c>
      <c r="C616" s="9" t="s">
        <v>1309</v>
      </c>
      <c r="D616" s="9" t="s">
        <v>1330</v>
      </c>
      <c r="E616" s="12" t="n">
        <v>33.3</v>
      </c>
      <c r="F616" s="56" t="n">
        <f aca="false">Quarter!$D$13</f>
        <v>33.2660224</v>
      </c>
      <c r="G616" s="31" t="n">
        <f aca="false">IFERROR(F616-E616,"n/a")</f>
        <v>-0.033977599999993</v>
      </c>
      <c r="H616" s="42" t="n">
        <v>0.050000001</v>
      </c>
      <c r="I616" s="60" t="str">
        <f aca="false">IFERROR(IF(ABS(F616-E616)&lt;=H616,"PASS","FAIL"),"FAIL")</f>
        <v>PASS</v>
      </c>
    </row>
    <row r="617" customFormat="false" ht="15" hidden="false" customHeight="false" outlineLevel="0" collapsed="false">
      <c r="B617" s="61" t="n">
        <v>609</v>
      </c>
      <c r="C617" s="9" t="s">
        <v>1309</v>
      </c>
      <c r="D617" s="9" t="s">
        <v>1331</v>
      </c>
      <c r="E617" s="12" t="n">
        <v>36.5</v>
      </c>
      <c r="F617" s="56" t="n">
        <f aca="false">Quarter!$E$13</f>
        <v>36.465</v>
      </c>
      <c r="G617" s="31" t="n">
        <f aca="false">IFERROR(F617-E617,"n/a")</f>
        <v>-0.0349999999999966</v>
      </c>
      <c r="H617" s="42" t="n">
        <v>0.050000001</v>
      </c>
      <c r="I617" s="60" t="str">
        <f aca="false">IFERROR(IF(ABS(F617-E617)&lt;=H617,"PASS","FAIL"),"FAIL")</f>
        <v>PASS</v>
      </c>
    </row>
    <row r="618" customFormat="false" ht="15" hidden="false" customHeight="false" outlineLevel="0" collapsed="false">
      <c r="B618" s="61" t="n">
        <v>610</v>
      </c>
      <c r="C618" s="9" t="s">
        <v>1309</v>
      </c>
      <c r="D618" s="9" t="s">
        <v>1332</v>
      </c>
      <c r="E618" s="24" t="n">
        <v>3.2</v>
      </c>
      <c r="F618" s="55" t="n">
        <f aca="false">Quarter!$F$13</f>
        <v>3.1989776</v>
      </c>
      <c r="G618" s="31" t="n">
        <f aca="false">IFERROR(F618-E618,"n/a")</f>
        <v>-0.00102240000000098</v>
      </c>
      <c r="H618" s="42" t="n">
        <v>0.005000001</v>
      </c>
      <c r="I618" s="60" t="str">
        <f aca="false">IFERROR(IF(ABS(F618-E618)&lt;=H618,"PASS","FAIL"),"FAIL")</f>
        <v>PASS</v>
      </c>
    </row>
    <row r="619" customFormat="false" ht="15" hidden="false" customHeight="false" outlineLevel="0" collapsed="false">
      <c r="B619" s="61" t="n">
        <v>611</v>
      </c>
      <c r="C619" s="9" t="s">
        <v>1309</v>
      </c>
      <c r="D619" s="9" t="s">
        <v>1333</v>
      </c>
      <c r="E619" s="11" t="n">
        <v>0.096</v>
      </c>
      <c r="F619" s="62" t="n">
        <f aca="false">Quarter!$G$13</f>
        <v>0.0961635136757437</v>
      </c>
      <c r="G619" s="31" t="n">
        <f aca="false">IFERROR(F619-E619,"n/a")</f>
        <v>0.000163513675743715</v>
      </c>
      <c r="H619" s="42" t="n">
        <v>0.000500001</v>
      </c>
      <c r="I619" s="60" t="str">
        <f aca="false">IFERROR(IF(ABS(F619-E619)&lt;=H619,"PASS","FAIL"),"FAIL")</f>
        <v>PASS</v>
      </c>
    </row>
    <row r="620" customFormat="false" ht="15" hidden="false" customHeight="false" outlineLevel="0" collapsed="false">
      <c r="B620" s="61" t="n">
        <v>612</v>
      </c>
      <c r="C620" s="9" t="s">
        <v>1309</v>
      </c>
      <c r="D620" s="9" t="s">
        <v>1334</v>
      </c>
      <c r="E620" s="12" t="n">
        <v>27</v>
      </c>
      <c r="F620" s="56" t="n">
        <f aca="false">Quarter!$D$14</f>
        <v>27.03537408</v>
      </c>
      <c r="G620" s="31" t="n">
        <f aca="false">IFERROR(F620-E620,"n/a")</f>
        <v>0.0353740800000004</v>
      </c>
      <c r="H620" s="42" t="n">
        <v>0.050000001</v>
      </c>
      <c r="I620" s="60" t="str">
        <f aca="false">IFERROR(IF(ABS(F620-E620)&lt;=H620,"PASS","FAIL"),"FAIL")</f>
        <v>PASS</v>
      </c>
    </row>
    <row r="621" customFormat="false" ht="15" hidden="false" customHeight="false" outlineLevel="0" collapsed="false">
      <c r="B621" s="61" t="n">
        <v>613</v>
      </c>
      <c r="C621" s="9" t="s">
        <v>1309</v>
      </c>
      <c r="D621" s="9" t="s">
        <v>1335</v>
      </c>
      <c r="E621" s="12" t="n">
        <v>27.1</v>
      </c>
      <c r="F621" s="56" t="n">
        <f aca="false">Quarter!$E$14</f>
        <v>27.0884</v>
      </c>
      <c r="G621" s="31" t="n">
        <f aca="false">IFERROR(F621-E621,"n/a")</f>
        <v>-0.0116000000000014</v>
      </c>
      <c r="H621" s="42" t="n">
        <v>0.050000001</v>
      </c>
      <c r="I621" s="60" t="str">
        <f aca="false">IFERROR(IF(ABS(F621-E621)&lt;=H621,"PASS","FAIL"),"FAIL")</f>
        <v>PASS</v>
      </c>
    </row>
    <row r="622" customFormat="false" ht="15" hidden="false" customHeight="false" outlineLevel="0" collapsed="false">
      <c r="B622" s="61" t="n">
        <v>614</v>
      </c>
      <c r="C622" s="9" t="s">
        <v>1309</v>
      </c>
      <c r="D622" s="9" t="s">
        <v>1336</v>
      </c>
      <c r="E622" s="24" t="n">
        <v>0.05</v>
      </c>
      <c r="F622" s="55" t="n">
        <f aca="false">Quarter!$F$14</f>
        <v>0.0530259199999996</v>
      </c>
      <c r="G622" s="31" t="n">
        <f aca="false">IFERROR(F622-E622,"n/a")</f>
        <v>0.00302591999999961</v>
      </c>
      <c r="H622" s="42" t="n">
        <v>0.005000001</v>
      </c>
      <c r="I622" s="60" t="str">
        <f aca="false">IFERROR(IF(ABS(F622-E622)&lt;=H622,"PASS","FAIL"),"FAIL")</f>
        <v>PASS</v>
      </c>
    </row>
    <row r="623" customFormat="false" ht="15" hidden="false" customHeight="false" outlineLevel="0" collapsed="false">
      <c r="B623" s="61" t="n">
        <v>615</v>
      </c>
      <c r="C623" s="9" t="s">
        <v>1309</v>
      </c>
      <c r="D623" s="9" t="s">
        <v>1337</v>
      </c>
      <c r="E623" s="11" t="n">
        <v>0.002</v>
      </c>
      <c r="F623" s="62" t="n">
        <f aca="false">Quarter!$G$14</f>
        <v>0.0019613532937659</v>
      </c>
      <c r="G623" s="31" t="n">
        <f aca="false">IFERROR(F623-E623,"n/a")</f>
        <v>-3.86467062341005E-005</v>
      </c>
      <c r="H623" s="42" t="n">
        <v>0.000500001</v>
      </c>
      <c r="I623" s="60" t="str">
        <f aca="false">IFERROR(IF(ABS(F623-E623)&lt;=H623,"PASS","FAIL"),"FAIL")</f>
        <v>PASS</v>
      </c>
    </row>
    <row r="624" customFormat="false" ht="15" hidden="false" customHeight="false" outlineLevel="0" collapsed="false">
      <c r="B624" s="61" t="n">
        <v>616</v>
      </c>
      <c r="C624" s="9" t="s">
        <v>1309</v>
      </c>
      <c r="D624" s="9" t="s">
        <v>1338</v>
      </c>
      <c r="E624" s="12" t="n">
        <v>80.5</v>
      </c>
      <c r="F624" s="56" t="n">
        <f aca="false">Quarter!$D$17</f>
        <v>80.49873248</v>
      </c>
      <c r="G624" s="31" t="n">
        <f aca="false">IFERROR(F624-E624,"n/a")</f>
        <v>-0.00126751999999897</v>
      </c>
      <c r="H624" s="42" t="n">
        <v>0.050000001</v>
      </c>
      <c r="I624" s="60" t="str">
        <f aca="false">IFERROR(IF(ABS(F624-E624)&lt;=H624,"PASS","FAIL"),"FAIL")</f>
        <v>PASS</v>
      </c>
    </row>
    <row r="625" customFormat="false" ht="15" hidden="false" customHeight="false" outlineLevel="0" collapsed="false">
      <c r="B625" s="61" t="n">
        <v>617</v>
      </c>
      <c r="C625" s="9" t="s">
        <v>1309</v>
      </c>
      <c r="D625" s="9" t="s">
        <v>1339</v>
      </c>
      <c r="E625" s="12" t="n">
        <v>81.3</v>
      </c>
      <c r="F625" s="56" t="n">
        <f aca="false">Quarter!$E$17</f>
        <v>81.2774</v>
      </c>
      <c r="G625" s="31" t="n">
        <f aca="false">IFERROR(F625-E625,"n/a")</f>
        <v>-0.0225999999999971</v>
      </c>
      <c r="H625" s="42" t="n">
        <v>0.050000001</v>
      </c>
      <c r="I625" s="60" t="str">
        <f aca="false">IFERROR(IF(ABS(F625-E625)&lt;=H625,"PASS","FAIL"),"FAIL")</f>
        <v>PASS</v>
      </c>
    </row>
    <row r="626" customFormat="false" ht="15" hidden="false" customHeight="false" outlineLevel="0" collapsed="false">
      <c r="B626" s="61" t="n">
        <v>618</v>
      </c>
      <c r="C626" s="9" t="s">
        <v>1309</v>
      </c>
      <c r="D626" s="9" t="s">
        <v>1340</v>
      </c>
      <c r="E626" s="24" t="n">
        <v>0.78</v>
      </c>
      <c r="F626" s="55" t="n">
        <f aca="false">Quarter!$F$17</f>
        <v>0.778667519999999</v>
      </c>
      <c r="G626" s="31" t="n">
        <f aca="false">IFERROR(F626-E626,"n/a")</f>
        <v>-0.00133248000000097</v>
      </c>
      <c r="H626" s="42" t="n">
        <v>0.005000001</v>
      </c>
      <c r="I626" s="60" t="str">
        <f aca="false">IFERROR(IF(ABS(F626-E626)&lt;=H626,"PASS","FAIL"),"FAIL")</f>
        <v>PASS</v>
      </c>
    </row>
    <row r="627" customFormat="false" ht="15" hidden="false" customHeight="false" outlineLevel="0" collapsed="false">
      <c r="B627" s="61" t="n">
        <v>619</v>
      </c>
      <c r="C627" s="9" t="s">
        <v>1309</v>
      </c>
      <c r="D627" s="9" t="s">
        <v>1341</v>
      </c>
      <c r="E627" s="11" t="n">
        <v>0.01</v>
      </c>
      <c r="F627" s="62" t="n">
        <f aca="false">Quarter!$G$17</f>
        <v>0.00967304075493924</v>
      </c>
      <c r="G627" s="31" t="n">
        <f aca="false">IFERROR(F627-E627,"n/a")</f>
        <v>-0.000326959245060756</v>
      </c>
      <c r="H627" s="42" t="n">
        <v>0.000500001</v>
      </c>
      <c r="I627" s="60" t="str">
        <f aca="false">IFERROR(IF(ABS(F627-E627)&lt;=H627,"PASS","FAIL"),"FAIL")</f>
        <v>PASS</v>
      </c>
    </row>
    <row r="628" customFormat="false" ht="15" hidden="false" customHeight="false" outlineLevel="0" collapsed="false">
      <c r="B628" s="61" t="n">
        <v>620</v>
      </c>
      <c r="C628" s="9" t="s">
        <v>1309</v>
      </c>
      <c r="D628" s="9" t="s">
        <v>1342</v>
      </c>
      <c r="E628" s="24" t="n">
        <v>0.93</v>
      </c>
      <c r="F628" s="55" t="n">
        <f aca="false">Quarter!$D$29</f>
        <v>0.929412730734177</v>
      </c>
      <c r="G628" s="31" t="n">
        <f aca="false">IFERROR(F628-E628,"n/a")</f>
        <v>-0.000587269265822754</v>
      </c>
      <c r="H628" s="42" t="n">
        <v>0.005000001</v>
      </c>
      <c r="I628" s="60" t="str">
        <f aca="false">IFERROR(IF(ABS(F628-E628)&lt;=H628,"PASS","FAIL"),"FAIL")</f>
        <v>PASS</v>
      </c>
    </row>
    <row r="629" customFormat="false" ht="15" hidden="false" customHeight="false" outlineLevel="0" collapsed="false">
      <c r="B629" s="61" t="n">
        <v>621</v>
      </c>
      <c r="C629" s="9" t="s">
        <v>1309</v>
      </c>
      <c r="D629" s="9" t="s">
        <v>1343</v>
      </c>
      <c r="E629" s="24" t="n">
        <v>0.94</v>
      </c>
      <c r="F629" s="55" t="n">
        <f aca="false">Quarter!$E$29</f>
        <v>0.943196343891403</v>
      </c>
      <c r="G629" s="31" t="n">
        <f aca="false">IFERROR(F629-E629,"n/a")</f>
        <v>0.00319634389140278</v>
      </c>
      <c r="H629" s="42" t="n">
        <v>0.005000001</v>
      </c>
      <c r="I629" s="60" t="str">
        <f aca="false">IFERROR(IF(ABS(F629-E629)&lt;=H629,"PASS","FAIL"),"FAIL")</f>
        <v>PASS</v>
      </c>
    </row>
    <row r="630" customFormat="false" ht="15" hidden="false" customHeight="false" outlineLevel="0" collapsed="false">
      <c r="B630" s="61" t="n">
        <v>622</v>
      </c>
      <c r="C630" s="9" t="s">
        <v>1309</v>
      </c>
      <c r="D630" s="9" t="s">
        <v>1344</v>
      </c>
      <c r="E630" s="24" t="n">
        <v>0.01</v>
      </c>
      <c r="F630" s="55" t="n">
        <f aca="false">Quarter!$F$29</f>
        <v>0.0137836131572254</v>
      </c>
      <c r="G630" s="31" t="n">
        <f aca="false">IFERROR(F630-E630,"n/a")</f>
        <v>0.00378361315722543</v>
      </c>
      <c r="H630" s="42" t="n">
        <v>0.005000001</v>
      </c>
      <c r="I630" s="60" t="str">
        <f aca="false">IFERROR(IF(ABS(F630-E630)&lt;=H630,"PASS","FAIL"),"FAIL")</f>
        <v>PASS</v>
      </c>
    </row>
    <row r="631" customFormat="false" ht="15" hidden="false" customHeight="false" outlineLevel="0" collapsed="false">
      <c r="B631" s="61" t="n">
        <v>623</v>
      </c>
      <c r="C631" s="9" t="s">
        <v>1309</v>
      </c>
      <c r="D631" s="9" t="s">
        <v>1345</v>
      </c>
      <c r="E631" s="11" t="n">
        <v>0.015</v>
      </c>
      <c r="F631" s="62" t="n">
        <f aca="false">Quarter!$G$29</f>
        <v>0.0148304544379732</v>
      </c>
      <c r="G631" s="31" t="n">
        <f aca="false">IFERROR(F631-E631,"n/a")</f>
        <v>-0.000169545562026849</v>
      </c>
      <c r="H631" s="42" t="n">
        <v>0.000500001</v>
      </c>
      <c r="I631" s="60" t="str">
        <f aca="false">IFERROR(IF(ABS(F631-E631)&lt;=H631,"PASS","FAIL"),"FAIL")</f>
        <v>PASS</v>
      </c>
    </row>
    <row r="632" customFormat="false" ht="15" hidden="false" customHeight="false" outlineLevel="0" collapsed="false">
      <c r="B632" s="61" t="n">
        <v>624</v>
      </c>
      <c r="C632" s="9" t="s">
        <v>1309</v>
      </c>
      <c r="D632" s="9" t="s">
        <v>1346</v>
      </c>
      <c r="E632" s="24" t="n">
        <v>0.74</v>
      </c>
      <c r="F632" s="55" t="n">
        <f aca="false">Quarter!$D$27</f>
        <v>0.741438047189874</v>
      </c>
      <c r="G632" s="31" t="n">
        <f aca="false">IFERROR(F632-E632,"n/a")</f>
        <v>0.0014380471898735</v>
      </c>
      <c r="H632" s="42" t="n">
        <v>0.005000001</v>
      </c>
      <c r="I632" s="60" t="str">
        <f aca="false">IFERROR(IF(ABS(F632-E632)&lt;=H632,"PASS","FAIL"),"FAIL")</f>
        <v>PASS</v>
      </c>
    </row>
    <row r="633" customFormat="false" ht="15" hidden="false" customHeight="false" outlineLevel="0" collapsed="false">
      <c r="B633" s="61" t="n">
        <v>625</v>
      </c>
      <c r="C633" s="9" t="s">
        <v>1309</v>
      </c>
      <c r="D633" s="9" t="s">
        <v>1347</v>
      </c>
      <c r="E633" s="24" t="n">
        <v>0.74</v>
      </c>
      <c r="F633" s="55" t="n">
        <f aca="false">Quarter!$E$27</f>
        <v>0.739721230769231</v>
      </c>
      <c r="G633" s="31" t="n">
        <f aca="false">IFERROR(F633-E633,"n/a")</f>
        <v>-0.000278769230769194</v>
      </c>
      <c r="H633" s="42" t="n">
        <v>0.005000001</v>
      </c>
      <c r="I633" s="60" t="str">
        <f aca="false">IFERROR(IF(ABS(F633-E633)&lt;=H633,"PASS","FAIL"),"FAIL")</f>
        <v>PASS</v>
      </c>
    </row>
    <row r="634" customFormat="false" ht="15" hidden="false" customHeight="false" outlineLevel="0" collapsed="false">
      <c r="B634" s="61" t="n">
        <v>626</v>
      </c>
      <c r="C634" s="9" t="s">
        <v>1309</v>
      </c>
      <c r="D634" s="9" t="s">
        <v>1348</v>
      </c>
      <c r="E634" s="24" t="n">
        <v>0</v>
      </c>
      <c r="F634" s="55" t="n">
        <f aca="false">Quarter!$F$27</f>
        <v>-0.0017168164206427</v>
      </c>
      <c r="G634" s="31" t="n">
        <f aca="false">IFERROR(F634-E634,"n/a")</f>
        <v>-0.0017168164206427</v>
      </c>
      <c r="H634" s="42" t="n">
        <v>0.005000001</v>
      </c>
      <c r="I634" s="60" t="str">
        <f aca="false">IFERROR(IF(ABS(F634-E634)&lt;=H634,"PASS","FAIL"),"FAIL")</f>
        <v>PASS</v>
      </c>
    </row>
    <row r="635" customFormat="false" ht="15" hidden="false" customHeight="false" outlineLevel="0" collapsed="false">
      <c r="B635" s="61" t="n">
        <v>627</v>
      </c>
      <c r="C635" s="9" t="s">
        <v>1309</v>
      </c>
      <c r="D635" s="9" t="s">
        <v>1349</v>
      </c>
      <c r="E635" s="11" t="n">
        <v>-0.002</v>
      </c>
      <c r="F635" s="62" t="n">
        <f aca="false">Quarter!$G$27</f>
        <v>-0.00231552241910116</v>
      </c>
      <c r="G635" s="31" t="n">
        <f aca="false">IFERROR(F635-E635,"n/a")</f>
        <v>-0.000315522419101157</v>
      </c>
      <c r="H635" s="42" t="n">
        <v>0.000500001</v>
      </c>
      <c r="I635" s="60" t="str">
        <f aca="false">IFERROR(IF(ABS(F635-E635)&lt;=H635,"PASS","FAIL"),"FAIL")</f>
        <v>PASS</v>
      </c>
    </row>
    <row r="636" customFormat="false" ht="15" hidden="false" customHeight="false" outlineLevel="0" collapsed="false">
      <c r="B636" s="61" t="n">
        <v>628</v>
      </c>
      <c r="C636" s="9" t="s">
        <v>1309</v>
      </c>
      <c r="D636" s="9" t="s">
        <v>1350</v>
      </c>
      <c r="E636" s="11" t="n">
        <v>0.12</v>
      </c>
      <c r="F636" s="62" t="n">
        <f aca="false">Quarter!$D$9</f>
        <v>0.12</v>
      </c>
      <c r="G636" s="31" t="n">
        <f aca="false">IFERROR(F636-E636,"n/a")</f>
        <v>0</v>
      </c>
      <c r="H636" s="42" t="n">
        <v>0.000500001</v>
      </c>
      <c r="I636" s="60" t="str">
        <f aca="false">IFERROR(IF(ABS(F636-E636)&lt;=H636,"PASS","FAIL"),"FAIL")</f>
        <v>PASS</v>
      </c>
    </row>
    <row r="637" customFormat="false" ht="15" hidden="false" customHeight="false" outlineLevel="0" collapsed="false">
      <c r="B637" s="61" t="n">
        <v>629</v>
      </c>
      <c r="C637" s="9" t="s">
        <v>1309</v>
      </c>
      <c r="D637" s="9" t="s">
        <v>1351</v>
      </c>
      <c r="E637" s="11" t="n">
        <v>0.114</v>
      </c>
      <c r="F637" s="62" t="n">
        <f aca="false">Quarter!$E$9</f>
        <v>0.114</v>
      </c>
      <c r="G637" s="31" t="n">
        <f aca="false">IFERROR(F637-E637,"n/a")</f>
        <v>0</v>
      </c>
      <c r="H637" s="42" t="n">
        <v>0.000500001</v>
      </c>
      <c r="I637" s="60" t="str">
        <f aca="false">IFERROR(IF(ABS(F637-E637)&lt;=H637,"PASS","FAIL"),"FAIL")</f>
        <v>PASS</v>
      </c>
    </row>
    <row r="638" customFormat="false" ht="15" hidden="false" customHeight="false" outlineLevel="0" collapsed="false">
      <c r="B638" s="61" t="n">
        <v>630</v>
      </c>
      <c r="C638" s="9" t="s">
        <v>1309</v>
      </c>
      <c r="D638" s="9" t="s">
        <v>1352</v>
      </c>
      <c r="E638" s="11" t="n">
        <v>0.208</v>
      </c>
      <c r="F638" s="62" t="n">
        <f aca="false">Quarter!$D$10</f>
        <v>0.208</v>
      </c>
      <c r="G638" s="31" t="n">
        <f aca="false">IFERROR(F638-E638,"n/a")</f>
        <v>0</v>
      </c>
      <c r="H638" s="42" t="n">
        <v>0.000500001</v>
      </c>
      <c r="I638" s="60" t="str">
        <f aca="false">IFERROR(IF(ABS(F638-E638)&lt;=H638,"PASS","FAIL"),"FAIL")</f>
        <v>PASS</v>
      </c>
    </row>
    <row r="639" customFormat="false" ht="15" hidden="false" customHeight="false" outlineLevel="0" collapsed="false">
      <c r="B639" s="61" t="n">
        <v>631</v>
      </c>
      <c r="C639" s="9" t="s">
        <v>1309</v>
      </c>
      <c r="D639" s="9" t="s">
        <v>1353</v>
      </c>
      <c r="E639" s="11" t="n">
        <v>0.221</v>
      </c>
      <c r="F639" s="62" t="n">
        <f aca="false">Quarter!$E$10</f>
        <v>0.221</v>
      </c>
      <c r="G639" s="31" t="n">
        <f aca="false">IFERROR(F639-E639,"n/a")</f>
        <v>0</v>
      </c>
      <c r="H639" s="42" t="n">
        <v>0.000500001</v>
      </c>
      <c r="I639" s="60" t="str">
        <f aca="false">IFERROR(IF(ABS(F639-E639)&lt;=H639,"PASS","FAIL"),"FAIL")</f>
        <v>PASS</v>
      </c>
    </row>
    <row r="640" customFormat="false" ht="15" hidden="false" customHeight="false" outlineLevel="0" collapsed="false">
      <c r="B640" s="61" t="n">
        <v>632</v>
      </c>
      <c r="C640" s="9" t="s">
        <v>1309</v>
      </c>
      <c r="D640" s="9" t="s">
        <v>1354</v>
      </c>
      <c r="E640" s="11" t="n">
        <v>0.239</v>
      </c>
      <c r="F640" s="62" t="n">
        <f aca="false">Quarter!$D$11</f>
        <v>0.239</v>
      </c>
      <c r="G640" s="31" t="n">
        <f aca="false">IFERROR(F640-E640,"n/a")</f>
        <v>0</v>
      </c>
      <c r="H640" s="42" t="n">
        <v>0.000500001</v>
      </c>
      <c r="I640" s="60" t="str">
        <f aca="false">IFERROR(IF(ABS(F640-E640)&lt;=H640,"PASS","FAIL"),"FAIL")</f>
        <v>PASS</v>
      </c>
    </row>
    <row r="641" customFormat="false" ht="15" hidden="false" customHeight="false" outlineLevel="0" collapsed="false">
      <c r="B641" s="61" t="n">
        <v>633</v>
      </c>
      <c r="C641" s="9" t="s">
        <v>1309</v>
      </c>
      <c r="D641" s="9" t="s">
        <v>1355</v>
      </c>
      <c r="E641" s="11" t="n">
        <v>0.241</v>
      </c>
      <c r="F641" s="62" t="n">
        <f aca="false">Quarter!$E$11</f>
        <v>0.241</v>
      </c>
      <c r="G641" s="31" t="n">
        <f aca="false">IFERROR(F641-E641,"n/a")</f>
        <v>0</v>
      </c>
      <c r="H641" s="42" t="n">
        <v>0.000500001</v>
      </c>
      <c r="I641" s="60" t="str">
        <f aca="false">IFERROR(IF(ABS(F641-E641)&lt;=H641,"PASS","FAIL"),"FAIL")</f>
        <v>PASS</v>
      </c>
    </row>
    <row r="642" customFormat="false" ht="15" hidden="false" customHeight="false" outlineLevel="0" collapsed="false">
      <c r="B642" s="61" t="n">
        <v>634</v>
      </c>
      <c r="C642" s="9" t="s">
        <v>1309</v>
      </c>
      <c r="D642" s="9" t="s">
        <v>1356</v>
      </c>
      <c r="E642" s="11" t="n">
        <v>0.148</v>
      </c>
      <c r="F642" s="62" t="n">
        <f aca="false">Quarter!$D$18</f>
        <v>0.147560780931078</v>
      </c>
      <c r="G642" s="31" t="n">
        <f aca="false">IFERROR(F642-E642,"n/a")</f>
        <v>-0.000439219068921914</v>
      </c>
      <c r="H642" s="42" t="n">
        <v>0.000500001</v>
      </c>
      <c r="I642" s="60" t="str">
        <f aca="false">IFERROR(IF(ABS(F642-E642)&lt;=H642,"PASS","FAIL"),"FAIL")</f>
        <v>PASS</v>
      </c>
    </row>
    <row r="643" customFormat="false" ht="15" hidden="false" customHeight="false" outlineLevel="0" collapsed="false">
      <c r="B643" s="61" t="n">
        <v>635</v>
      </c>
      <c r="C643" s="9" t="s">
        <v>1309</v>
      </c>
      <c r="D643" s="9" t="s">
        <v>1357</v>
      </c>
      <c r="E643" s="11" t="n">
        <v>0.15</v>
      </c>
      <c r="F643" s="62" t="n">
        <f aca="false">Quarter!$E$18</f>
        <v>0.149571954361428</v>
      </c>
      <c r="G643" s="31" t="n">
        <f aca="false">IFERROR(F643-E643,"n/a")</f>
        <v>-0.000428045638571933</v>
      </c>
      <c r="H643" s="42" t="n">
        <v>0.000500001</v>
      </c>
      <c r="I643" s="60" t="str">
        <f aca="false">IFERROR(IF(ABS(F643-E643)&lt;=H643,"PASS","FAIL"),"FAIL")</f>
        <v>PASS</v>
      </c>
    </row>
    <row r="644" customFormat="false" ht="15" hidden="false" customHeight="false" outlineLevel="0" collapsed="false">
      <c r="B644" s="61" t="n">
        <v>636</v>
      </c>
      <c r="C644" s="9" t="s">
        <v>1309</v>
      </c>
      <c r="D644" s="9" t="s">
        <v>1358</v>
      </c>
      <c r="E644" s="11" t="n">
        <v>0.025</v>
      </c>
      <c r="F644" s="62" t="n">
        <f aca="false">Quarter!$D$32</f>
        <v>0.0252134172732639</v>
      </c>
      <c r="G644" s="31" t="n">
        <f aca="false">IFERROR(F644-E644,"n/a")</f>
        <v>0.00021341727326387</v>
      </c>
      <c r="H644" s="42" t="n">
        <v>0.000500001</v>
      </c>
      <c r="I644" s="60" t="str">
        <f aca="false">IFERROR(IF(ABS(F644-E644)&lt;=H644,"PASS","FAIL"),"FAIL")</f>
        <v>PASS</v>
      </c>
    </row>
    <row r="645" customFormat="false" ht="15" hidden="false" customHeight="false" outlineLevel="0" collapsed="false">
      <c r="B645" s="61" t="n">
        <v>637</v>
      </c>
      <c r="C645" s="9" t="s">
        <v>1309</v>
      </c>
      <c r="D645" s="9" t="s">
        <v>1359</v>
      </c>
      <c r="E645" s="11" t="n">
        <v>0.004</v>
      </c>
      <c r="F645" s="62" t="n">
        <f aca="false">Quarter!$D$33</f>
        <v>0.00443622920517561</v>
      </c>
      <c r="G645" s="31" t="n">
        <f aca="false">IFERROR(F645-E645,"n/a")</f>
        <v>0.000436229205175612</v>
      </c>
      <c r="H645" s="42" t="n">
        <v>0.000500001</v>
      </c>
      <c r="I645" s="60" t="str">
        <f aca="false">IFERROR(IF(ABS(F645-E645)&lt;=H645,"PASS","FAIL"),"FAIL")</f>
        <v>PASS</v>
      </c>
    </row>
    <row r="646" customFormat="false" ht="15" hidden="false" customHeight="false" outlineLevel="0" collapsed="false">
      <c r="B646" s="61" t="n">
        <v>638</v>
      </c>
      <c r="C646" s="9" t="s">
        <v>1309</v>
      </c>
      <c r="D646" s="9" t="s">
        <v>1360</v>
      </c>
      <c r="E646" s="12" t="n">
        <v>516</v>
      </c>
      <c r="F646" s="56" t="n">
        <f aca="false">Quarter!$D$34</f>
        <v>516</v>
      </c>
      <c r="G646" s="31" t="n">
        <f aca="false">IFERROR(F646-E646,"n/a")</f>
        <v>0</v>
      </c>
      <c r="H646" s="42" t="n">
        <v>0.050000001</v>
      </c>
      <c r="I646" s="60" t="str">
        <f aca="false">IFERROR(IF(ABS(F646-E646)&lt;=H646,"PASS","FAIL"),"FAIL")</f>
        <v>PASS</v>
      </c>
    </row>
    <row r="647" customFormat="false" ht="15" hidden="false" customHeight="false" outlineLevel="0" collapsed="false">
      <c r="B647" s="61" t="n">
        <v>639</v>
      </c>
      <c r="C647" s="9" t="s">
        <v>1309</v>
      </c>
      <c r="D647" s="9" t="s">
        <v>1361</v>
      </c>
      <c r="E647" s="11" t="n">
        <v>0.011</v>
      </c>
      <c r="F647" s="62" t="n">
        <f aca="false">Quarter!$D$35</f>
        <v>0.0106382978723405</v>
      </c>
      <c r="G647" s="31" t="n">
        <f aca="false">IFERROR(F647-E647,"n/a")</f>
        <v>-0.000361702127659503</v>
      </c>
      <c r="H647" s="42" t="n">
        <v>0.000500001</v>
      </c>
      <c r="I647" s="60" t="str">
        <f aca="false">IFERROR(IF(ABS(F647-E647)&lt;=H647,"PASS","FAIL"),"FAIL")</f>
        <v>PASS</v>
      </c>
    </row>
    <row r="648" customFormat="false" ht="15" hidden="false" customHeight="false" outlineLevel="0" collapsed="false">
      <c r="B648" s="61" t="n">
        <v>640</v>
      </c>
      <c r="C648" s="9" t="s">
        <v>1309</v>
      </c>
      <c r="D648" s="9" t="s">
        <v>1362</v>
      </c>
      <c r="E648" s="11" t="n">
        <v>0.121</v>
      </c>
      <c r="F648" s="62" t="n">
        <f aca="false">Quarter!$D$36</f>
        <v>0.120923913043478</v>
      </c>
      <c r="G648" s="31" t="n">
        <f aca="false">IFERROR(F648-E648,"n/a")</f>
        <v>-7.60869565217259E-005</v>
      </c>
      <c r="H648" s="42" t="n">
        <v>0.000500001</v>
      </c>
      <c r="I648" s="60" t="str">
        <f aca="false">IFERROR(IF(ABS(F648-E648)&lt;=H648,"PASS","FAIL"),"FAIL")</f>
        <v>PASS</v>
      </c>
    </row>
    <row r="649" customFormat="false" ht="15" hidden="false" customHeight="false" outlineLevel="0" collapsed="false">
      <c r="B649" s="61" t="n">
        <v>641</v>
      </c>
      <c r="C649" s="9" t="s">
        <v>1309</v>
      </c>
      <c r="D649" s="9" t="s">
        <v>1363</v>
      </c>
      <c r="E649" s="11" t="n">
        <v>0.064</v>
      </c>
      <c r="F649" s="62" t="n">
        <f aca="false">Quarter!$D$37</f>
        <v>0.0643939393939395</v>
      </c>
      <c r="G649" s="31" t="n">
        <f aca="false">IFERROR(F649-E649,"n/a")</f>
        <v>0.000393939393939446</v>
      </c>
      <c r="H649" s="42" t="n">
        <v>0.000500001</v>
      </c>
      <c r="I649" s="60" t="str">
        <f aca="false">IFERROR(IF(ABS(F649-E649)&lt;=H649,"PASS","FAIL"),"FAIL")</f>
        <v>PASS</v>
      </c>
    </row>
    <row r="650" customFormat="false" ht="15" hidden="false" customHeight="false" outlineLevel="0" collapsed="false">
      <c r="B650" s="61" t="n">
        <v>642</v>
      </c>
      <c r="C650" s="9" t="s">
        <v>1309</v>
      </c>
      <c r="D650" s="9" t="s">
        <v>1364</v>
      </c>
      <c r="E650" s="11" t="n">
        <v>0.053</v>
      </c>
      <c r="F650" s="62" t="n">
        <f aca="false">Quarter!$D$38</f>
        <v>0.0531007751937984</v>
      </c>
      <c r="G650" s="31" t="n">
        <f aca="false">IFERROR(F650-E650,"n/a")</f>
        <v>0.000100775193798412</v>
      </c>
      <c r="H650" s="42" t="n">
        <v>0.000500001</v>
      </c>
      <c r="I650" s="60" t="str">
        <f aca="false">IFERROR(IF(ABS(F650-E650)&lt;=H650,"PASS","FAIL"),"FAIL")</f>
        <v>PASS</v>
      </c>
    </row>
    <row r="651" customFormat="false" ht="15" hidden="false" customHeight="false" outlineLevel="0" collapsed="false">
      <c r="B651" s="61" t="n">
        <v>643</v>
      </c>
      <c r="C651" s="9" t="s">
        <v>1309</v>
      </c>
      <c r="D651" s="9" t="s">
        <v>1365</v>
      </c>
      <c r="E651" s="11" t="n">
        <v>0.11</v>
      </c>
      <c r="F651" s="62" t="n">
        <f aca="false">Quarter!$D$39</f>
        <v>0.109642757519297</v>
      </c>
      <c r="G651" s="31" t="n">
        <f aca="false">IFERROR(F651-E651,"n/a")</f>
        <v>-0.000357242480702694</v>
      </c>
      <c r="H651" s="42" t="n">
        <v>0.000500001</v>
      </c>
      <c r="I651" s="60" t="str">
        <f aca="false">IFERROR(IF(ABS(F651-E651)&lt;=H651,"PASS","FAIL"),"FAIL")</f>
        <v>PASS</v>
      </c>
    </row>
    <row r="652" customFormat="false" ht="15" hidden="false" customHeight="false" outlineLevel="0" collapsed="false">
      <c r="B652" s="61" t="n">
        <v>644</v>
      </c>
      <c r="C652" s="9" t="s">
        <v>1309</v>
      </c>
      <c r="D652" s="9" t="s">
        <v>1366</v>
      </c>
      <c r="E652" s="11" t="n">
        <v>-0.014</v>
      </c>
      <c r="F652" s="62" t="n">
        <f aca="false">Quarter!$D$40</f>
        <v>-0.0140114167099116</v>
      </c>
      <c r="G652" s="31" t="n">
        <f aca="false">IFERROR(F652-E652,"n/a")</f>
        <v>-1.14167099115724E-005</v>
      </c>
      <c r="H652" s="42" t="n">
        <v>0.000500001</v>
      </c>
      <c r="I652" s="60" t="str">
        <f aca="false">IFERROR(IF(ABS(F652-E652)&lt;=H652,"PASS","FAIL"),"FAIL")</f>
        <v>PASS</v>
      </c>
    </row>
    <row r="653" customFormat="false" ht="15" hidden="false" customHeight="false" outlineLevel="0" collapsed="false">
      <c r="B653" s="61" t="n">
        <v>645</v>
      </c>
      <c r="C653" s="9" t="s">
        <v>1309</v>
      </c>
      <c r="D653" s="9" t="s">
        <v>1367</v>
      </c>
      <c r="E653" s="24" t="n">
        <v>4.35</v>
      </c>
      <c r="F653" s="55" t="n">
        <f aca="false">Quarter!$D$41</f>
        <v>4.35</v>
      </c>
      <c r="G653" s="31" t="n">
        <f aca="false">IFERROR(F653-E653,"n/a")</f>
        <v>0</v>
      </c>
      <c r="H653" s="42" t="n">
        <v>0.005000001</v>
      </c>
      <c r="I653" s="60" t="str">
        <f aca="false">IFERROR(IF(ABS(F653-E653)&lt;=H653,"PASS","FAIL"),"FAIL")</f>
        <v>PASS</v>
      </c>
    </row>
    <row r="654" customFormat="false" ht="15" hidden="false" customHeight="false" outlineLevel="0" collapsed="false">
      <c r="B654" s="61" t="n">
        <v>646</v>
      </c>
      <c r="C654" s="9" t="s">
        <v>1309</v>
      </c>
      <c r="D654" s="9" t="s">
        <v>1368</v>
      </c>
      <c r="E654" s="24" t="n">
        <v>4.45</v>
      </c>
      <c r="F654" s="55" t="n">
        <f aca="false">Quarter!$D$42</f>
        <v>4.45</v>
      </c>
      <c r="G654" s="31" t="n">
        <f aca="false">IFERROR(F654-E654,"n/a")</f>
        <v>0</v>
      </c>
      <c r="H654" s="42" t="n">
        <v>0.005000001</v>
      </c>
      <c r="I654" s="60" t="str">
        <f aca="false">IFERROR(IF(ABS(F654-E654)&lt;=H654,"PASS","FAIL"),"FAIL")</f>
        <v>PASS</v>
      </c>
    </row>
    <row r="655" customFormat="false" ht="15" hidden="false" customHeight="false" outlineLevel="0" collapsed="false">
      <c r="B655" s="61" t="n">
        <v>647</v>
      </c>
      <c r="C655" s="9" t="s">
        <v>1309</v>
      </c>
      <c r="D655" s="9" t="s">
        <v>1369</v>
      </c>
      <c r="E655" s="63" t="n">
        <v>0.929</v>
      </c>
      <c r="F655" s="58" t="n">
        <f aca="false">Quarter!$D$46</f>
        <v>0.929412730734177</v>
      </c>
      <c r="G655" s="31" t="n">
        <f aca="false">IFERROR(F655-E655,"n/a")</f>
        <v>0.000412730734177247</v>
      </c>
      <c r="H655" s="42" t="n">
        <v>0.000500001</v>
      </c>
      <c r="I655" s="60" t="str">
        <f aca="false">IFERROR(IF(ABS(F655-E655)&lt;=H655,"PASS","FAIL"),"FAIL")</f>
        <v>PASS</v>
      </c>
    </row>
    <row r="656" customFormat="false" ht="15" hidden="false" customHeight="false" outlineLevel="0" collapsed="false">
      <c r="B656" s="61" t="n">
        <v>648</v>
      </c>
      <c r="C656" s="9" t="s">
        <v>1309</v>
      </c>
      <c r="D656" s="9" t="s">
        <v>1370</v>
      </c>
      <c r="E656" s="63" t="n">
        <v>-0.011</v>
      </c>
      <c r="F656" s="58" t="n">
        <f aca="false">Quarter!$D$47</f>
        <v>-0.0108236658227848</v>
      </c>
      <c r="G656" s="31" t="n">
        <f aca="false">IFERROR(F656-E656,"n/a")</f>
        <v>0.000176334177215184</v>
      </c>
      <c r="H656" s="42" t="n">
        <v>0.000500001</v>
      </c>
      <c r="I656" s="60" t="str">
        <f aca="false">IFERROR(IF(ABS(F656-E656)&lt;=H656,"PASS","FAIL"),"FAIL")</f>
        <v>PASS</v>
      </c>
    </row>
    <row r="657" customFormat="false" ht="15" hidden="false" customHeight="false" outlineLevel="0" collapsed="false">
      <c r="B657" s="61" t="n">
        <v>649</v>
      </c>
      <c r="C657" s="9" t="s">
        <v>1309</v>
      </c>
      <c r="D657" s="9" t="s">
        <v>1371</v>
      </c>
      <c r="E657" s="63" t="n">
        <v>-0.022</v>
      </c>
      <c r="F657" s="58" t="n">
        <f aca="false">Quarter!$D$48</f>
        <v>-0.0222227848101266</v>
      </c>
      <c r="G657" s="31" t="n">
        <f aca="false">IFERROR(F657-E657,"n/a")</f>
        <v>-0.000222784810126605</v>
      </c>
      <c r="H657" s="42" t="n">
        <v>0.000500001</v>
      </c>
      <c r="I657" s="60" t="str">
        <f aca="false">IFERROR(IF(ABS(F657-E657)&lt;=H657,"PASS","FAIL"),"FAIL")</f>
        <v>PASS</v>
      </c>
    </row>
    <row r="658" customFormat="false" ht="15" hidden="false" customHeight="false" outlineLevel="0" collapsed="false">
      <c r="B658" s="61" t="n">
        <v>650</v>
      </c>
      <c r="C658" s="9" t="s">
        <v>1309</v>
      </c>
      <c r="D658" s="9" t="s">
        <v>1372</v>
      </c>
      <c r="E658" s="63" t="n">
        <v>0.015</v>
      </c>
      <c r="F658" s="58" t="n">
        <f aca="false">Quarter!$D$49</f>
        <v>0.0146756374683544</v>
      </c>
      <c r="G658" s="31" t="n">
        <f aca="false">IFERROR(F658-E658,"n/a")</f>
        <v>-0.000324362531645609</v>
      </c>
      <c r="H658" s="42" t="n">
        <v>0.000500001</v>
      </c>
      <c r="I658" s="60" t="str">
        <f aca="false">IFERROR(IF(ABS(F658-E658)&lt;=H658,"PASS","FAIL"),"FAIL")</f>
        <v>PASS</v>
      </c>
    </row>
    <row r="659" customFormat="false" ht="15" hidden="false" customHeight="false" outlineLevel="0" collapsed="false">
      <c r="B659" s="61" t="n">
        <v>651</v>
      </c>
      <c r="C659" s="9" t="s">
        <v>1309</v>
      </c>
      <c r="D659" s="9" t="s">
        <v>1373</v>
      </c>
      <c r="E659" s="63" t="n">
        <v>0.03</v>
      </c>
      <c r="F659" s="58" t="n">
        <f aca="false">Quarter!$D$50</f>
        <v>0.029867088607595</v>
      </c>
      <c r="G659" s="31" t="n">
        <f aca="false">IFERROR(F659-E659,"n/a")</f>
        <v>-0.000132911392405035</v>
      </c>
      <c r="H659" s="42" t="n">
        <v>0.000500001</v>
      </c>
      <c r="I659" s="60" t="str">
        <f aca="false">IFERROR(IF(ABS(F659-E659)&lt;=H659,"PASS","FAIL"),"FAIL")</f>
        <v>PASS</v>
      </c>
    </row>
    <row r="660" customFormat="false" ht="15" hidden="false" customHeight="false" outlineLevel="0" collapsed="false">
      <c r="B660" s="61" t="n">
        <v>652</v>
      </c>
      <c r="C660" s="9" t="s">
        <v>1309</v>
      </c>
      <c r="D660" s="9" t="s">
        <v>1374</v>
      </c>
      <c r="E660" s="63" t="n">
        <v>-0.002</v>
      </c>
      <c r="F660" s="58" t="n">
        <f aca="false">Quarter!$D$51</f>
        <v>-0.00239179098734179</v>
      </c>
      <c r="G660" s="31" t="n">
        <f aca="false">IFERROR(F660-E660,"n/a")</f>
        <v>-0.000391790987341788</v>
      </c>
      <c r="H660" s="42" t="n">
        <v>0.000500001</v>
      </c>
      <c r="I660" s="60" t="str">
        <f aca="false">IFERROR(IF(ABS(F660-E660)&lt;=H660,"PASS","FAIL"),"FAIL")</f>
        <v>PASS</v>
      </c>
    </row>
    <row r="661" customFormat="false" ht="15" hidden="false" customHeight="false" outlineLevel="0" collapsed="false">
      <c r="B661" s="61" t="n">
        <v>653</v>
      </c>
      <c r="C661" s="9" t="s">
        <v>1309</v>
      </c>
      <c r="D661" s="9" t="s">
        <v>1375</v>
      </c>
      <c r="E661" s="63" t="n">
        <v>0.003</v>
      </c>
      <c r="F661" s="58" t="n">
        <f aca="false">Quarter!$D$52</f>
        <v>0.00313012658227848</v>
      </c>
      <c r="G661" s="31" t="n">
        <f aca="false">IFERROR(F661-E661,"n/a")</f>
        <v>0.000130126582278484</v>
      </c>
      <c r="H661" s="42" t="n">
        <v>0.000500001</v>
      </c>
      <c r="I661" s="60" t="str">
        <f aca="false">IFERROR(IF(ABS(F661-E661)&lt;=H661,"PASS","FAIL"),"FAIL")</f>
        <v>PASS</v>
      </c>
    </row>
    <row r="662" customFormat="false" ht="15" hidden="false" customHeight="false" outlineLevel="0" collapsed="false">
      <c r="B662" s="61" t="n">
        <v>654</v>
      </c>
      <c r="C662" s="9" t="s">
        <v>1309</v>
      </c>
      <c r="D662" s="9" t="s">
        <v>1376</v>
      </c>
      <c r="E662" s="63" t="n">
        <v>0.002</v>
      </c>
      <c r="F662" s="58" t="n">
        <f aca="false">Quarter!$D$53</f>
        <v>0.0015490021192508</v>
      </c>
      <c r="G662" s="31" t="n">
        <f aca="false">IFERROR(F662-E662,"n/a")</f>
        <v>-0.000450997880749204</v>
      </c>
      <c r="H662" s="42" t="n">
        <v>0.000500001</v>
      </c>
      <c r="I662" s="60" t="str">
        <f aca="false">IFERROR(IF(ABS(F662-E662)&lt;=H662,"PASS","FAIL"),"FAIL")</f>
        <v>PASS</v>
      </c>
    </row>
    <row r="663" customFormat="false" ht="15" hidden="false" customHeight="false" outlineLevel="0" collapsed="false">
      <c r="B663" s="61" t="n">
        <v>655</v>
      </c>
      <c r="C663" s="9" t="s">
        <v>1309</v>
      </c>
      <c r="D663" s="9" t="s">
        <v>1377</v>
      </c>
      <c r="E663" s="63" t="n">
        <v>0.943</v>
      </c>
      <c r="F663" s="58" t="n">
        <f aca="false">Quarter!$D$54</f>
        <v>0.943196343891403</v>
      </c>
      <c r="G663" s="31" t="n">
        <f aca="false">IFERROR(F663-E663,"n/a")</f>
        <v>0.000196343891402773</v>
      </c>
      <c r="H663" s="42" t="n">
        <v>0.000500001</v>
      </c>
      <c r="I663" s="60" t="str">
        <f aca="false">IFERROR(IF(ABS(F663-E663)&lt;=H663,"PASS","FAIL"),"FAIL")</f>
        <v>PASS</v>
      </c>
    </row>
    <row r="664" customFormat="false" ht="15" hidden="false" customHeight="false" outlineLevel="0" collapsed="false">
      <c r="B664" s="61" t="n">
        <v>656</v>
      </c>
      <c r="C664" s="9" t="s">
        <v>1309</v>
      </c>
      <c r="D664" s="9" t="s">
        <v>1378</v>
      </c>
      <c r="E664" s="11" t="n">
        <v>0.156</v>
      </c>
      <c r="F664" s="62" t="n">
        <f aca="false">Quarter!$D$57</f>
        <v>0.156285390713477</v>
      </c>
      <c r="G664" s="31" t="n">
        <f aca="false">IFERROR(F664-E664,"n/a")</f>
        <v>0.000285390713476691</v>
      </c>
      <c r="H664" s="42" t="n">
        <v>0.000500001</v>
      </c>
      <c r="I664" s="60" t="str">
        <f aca="false">IFERROR(IF(ABS(F664-E664)&lt;=H664,"PASS","FAIL"),"FAIL")</f>
        <v>PASS</v>
      </c>
    </row>
    <row r="665" customFormat="false" ht="15" hidden="false" customHeight="false" outlineLevel="0" collapsed="false">
      <c r="B665" s="61" t="n">
        <v>657</v>
      </c>
      <c r="C665" s="9" t="s">
        <v>1309</v>
      </c>
      <c r="D665" s="9" t="s">
        <v>1379</v>
      </c>
      <c r="E665" s="66" t="s">
        <v>177</v>
      </c>
      <c r="F665" s="67" t="str">
        <f aca="false">Quarter!$D$58</f>
        <v>Buy</v>
      </c>
      <c r="G665" s="9"/>
      <c r="H665" s="9"/>
      <c r="I665" s="60" t="str">
        <f aca="false">IFERROR(IF(EXACT(F665,E665),"PASS","FAIL"),"FAIL")</f>
        <v>PASS</v>
      </c>
    </row>
    <row r="666" customFormat="false" ht="15" hidden="false" customHeight="false" outlineLevel="0" collapsed="false">
      <c r="B666" s="61" t="n">
        <v>658</v>
      </c>
      <c r="C666" s="9" t="s">
        <v>1380</v>
      </c>
      <c r="D666" s="9" t="s">
        <v>557</v>
      </c>
      <c r="E666" s="11" t="n">
        <v>0.056</v>
      </c>
      <c r="F666" s="62" t="n">
        <f aca="false">Revision!$D$16</f>
        <v>0.0560588901472254</v>
      </c>
      <c r="G666" s="31" t="n">
        <f aca="false">IFERROR(F666-E666,"n/a")</f>
        <v>5.88901472254391E-005</v>
      </c>
      <c r="H666" s="42" t="n">
        <v>0.000500001</v>
      </c>
      <c r="I666" s="60" t="str">
        <f aca="false">IFERROR(IF(ABS(F666-E666)&lt;=H666,"PASS","FAIL"),"FAIL")</f>
        <v>PASS</v>
      </c>
    </row>
    <row r="667" customFormat="false" ht="15" hidden="false" customHeight="false" outlineLevel="0" collapsed="false">
      <c r="B667" s="61" t="n">
        <v>659</v>
      </c>
      <c r="C667" s="9" t="s">
        <v>1380</v>
      </c>
      <c r="D667" s="9" t="s">
        <v>1381</v>
      </c>
      <c r="E667" s="11" t="n">
        <v>0.052</v>
      </c>
      <c r="F667" s="62" t="n">
        <f aca="false">Revision!$D$17</f>
        <v>0.0520588901472254</v>
      </c>
      <c r="G667" s="31" t="n">
        <f aca="false">IFERROR(F667-E667,"n/a")</f>
        <v>5.88901472254252E-005</v>
      </c>
      <c r="H667" s="42" t="n">
        <v>0.000500001</v>
      </c>
      <c r="I667" s="60" t="str">
        <f aca="false">IFERROR(IF(ABS(F667-E667)&lt;=H667,"PASS","FAIL"),"FAIL")</f>
        <v>PASS</v>
      </c>
    </row>
    <row r="668" customFormat="false" ht="15" hidden="false" customHeight="false" outlineLevel="0" collapsed="false">
      <c r="B668" s="61" t="n">
        <v>660</v>
      </c>
      <c r="C668" s="9" t="s">
        <v>1380</v>
      </c>
      <c r="D668" s="9" t="s">
        <v>1382</v>
      </c>
      <c r="E668" s="24" t="n">
        <v>4.4</v>
      </c>
      <c r="F668" s="55" t="n">
        <f aca="false">Revision!$D$5</f>
        <v>4.398415616</v>
      </c>
      <c r="G668" s="31" t="n">
        <f aca="false">IFERROR(F668-E668,"n/a")</f>
        <v>-0.00158438399999916</v>
      </c>
      <c r="H668" s="42" t="n">
        <v>0.005000001</v>
      </c>
      <c r="I668" s="60" t="str">
        <f aca="false">IFERROR(IF(ABS(F668-E668)&lt;=H668,"PASS","FAIL"),"FAIL")</f>
        <v>PASS</v>
      </c>
    </row>
    <row r="669" customFormat="false" ht="15" hidden="false" customHeight="false" outlineLevel="0" collapsed="false">
      <c r="B669" s="61" t="n">
        <v>661</v>
      </c>
      <c r="C669" s="9" t="s">
        <v>1380</v>
      </c>
      <c r="D669" s="9" t="s">
        <v>1383</v>
      </c>
      <c r="E669" s="24" t="n">
        <v>4.4</v>
      </c>
      <c r="F669" s="55" t="n">
        <f aca="false">Revision!$D$6</f>
        <v>4.402502496</v>
      </c>
      <c r="G669" s="31" t="n">
        <f aca="false">IFERROR(F669-E669,"n/a")</f>
        <v>0.00250249599999908</v>
      </c>
      <c r="H669" s="42" t="n">
        <v>0.005000001</v>
      </c>
      <c r="I669" s="60" t="str">
        <f aca="false">IFERROR(IF(ABS(F669-E669)&lt;=H669,"PASS","FAIL"),"FAIL")</f>
        <v>PASS</v>
      </c>
    </row>
    <row r="670" customFormat="false" ht="15" hidden="false" customHeight="false" outlineLevel="0" collapsed="false">
      <c r="B670" s="61" t="n">
        <v>662</v>
      </c>
      <c r="C670" s="9" t="s">
        <v>1380</v>
      </c>
      <c r="D670" s="9" t="s">
        <v>1384</v>
      </c>
      <c r="E670" s="11" t="n">
        <v>0.001</v>
      </c>
      <c r="F670" s="62" t="n">
        <f aca="false">Revision!$D$7</f>
        <v>0.000929170946267988</v>
      </c>
      <c r="G670" s="31" t="n">
        <f aca="false">IFERROR(F670-E670,"n/a")</f>
        <v>-7.08290537320125E-005</v>
      </c>
      <c r="H670" s="42" t="n">
        <v>0.000500001</v>
      </c>
      <c r="I670" s="60" t="str">
        <f aca="false">IFERROR(IF(ABS(F670-E670)&lt;=H670,"PASS","FAIL"),"FAIL")</f>
        <v>PASS</v>
      </c>
    </row>
    <row r="671" customFormat="false" ht="15" hidden="false" customHeight="false" outlineLevel="0" collapsed="false">
      <c r="B671" s="61" t="n">
        <v>663</v>
      </c>
      <c r="C671" s="9" t="s">
        <v>1380</v>
      </c>
      <c r="D671" s="9" t="s">
        <v>1385</v>
      </c>
      <c r="E671" s="12" t="n">
        <v>2326.2</v>
      </c>
      <c r="F671" s="56" t="n">
        <f aca="false">Revision!$D$8</f>
        <v>2326.168</v>
      </c>
      <c r="G671" s="31" t="n">
        <f aca="false">IFERROR(F671-E671,"n/a")</f>
        <v>-0.0319999999996981</v>
      </c>
      <c r="H671" s="42" t="n">
        <v>0.050000001</v>
      </c>
      <c r="I671" s="60" t="str">
        <f aca="false">IFERROR(IF(ABS(F671-E671)&lt;=H671,"PASS","FAIL"),"FAIL")</f>
        <v>PASS</v>
      </c>
    </row>
    <row r="672" customFormat="false" ht="15" hidden="false" customHeight="false" outlineLevel="0" collapsed="false">
      <c r="B672" s="61" t="n">
        <v>664</v>
      </c>
      <c r="C672" s="9" t="s">
        <v>1380</v>
      </c>
      <c r="D672" s="9" t="s">
        <v>1386</v>
      </c>
      <c r="E672" s="12" t="n">
        <v>2325.3</v>
      </c>
      <c r="F672" s="56" t="n">
        <f aca="false">Revision!$D$9</f>
        <v>2325.348</v>
      </c>
      <c r="G672" s="31" t="n">
        <f aca="false">IFERROR(F672-E672,"n/a")</f>
        <v>0.0479999999993197</v>
      </c>
      <c r="H672" s="42" t="n">
        <v>0.050000001</v>
      </c>
      <c r="I672" s="60" t="str">
        <f aca="false">IFERROR(IF(ABS(F672-E672)&lt;=H672,"PASS","FAIL"),"FAIL")</f>
        <v>PASS</v>
      </c>
    </row>
    <row r="673" customFormat="false" ht="15" hidden="false" customHeight="false" outlineLevel="0" collapsed="false">
      <c r="B673" s="61" t="n">
        <v>665</v>
      </c>
      <c r="C673" s="9" t="s">
        <v>1380</v>
      </c>
      <c r="D673" s="9" t="s">
        <v>1387</v>
      </c>
      <c r="E673" s="24" t="n">
        <v>5.06</v>
      </c>
      <c r="F673" s="55" t="n">
        <f aca="false">Revision!$E$5</f>
        <v>5.05801284230324</v>
      </c>
      <c r="G673" s="31" t="n">
        <f aca="false">IFERROR(F673-E673,"n/a")</f>
        <v>-0.00198715769676472</v>
      </c>
      <c r="H673" s="42" t="n">
        <v>0.005000001</v>
      </c>
      <c r="I673" s="60" t="str">
        <f aca="false">IFERROR(IF(ABS(F673-E673)&lt;=H673,"PASS","FAIL"),"FAIL")</f>
        <v>PASS</v>
      </c>
    </row>
    <row r="674" customFormat="false" ht="15" hidden="false" customHeight="false" outlineLevel="0" collapsed="false">
      <c r="B674" s="61" t="n">
        <v>666</v>
      </c>
      <c r="C674" s="9" t="s">
        <v>1380</v>
      </c>
      <c r="D674" s="9" t="s">
        <v>1388</v>
      </c>
      <c r="E674" s="24" t="n">
        <v>5.1</v>
      </c>
      <c r="F674" s="55" t="n">
        <f aca="false">Revision!$E$6</f>
        <v>5.10375267119478</v>
      </c>
      <c r="G674" s="31" t="n">
        <f aca="false">IFERROR(F674-E674,"n/a")</f>
        <v>0.00375267119477929</v>
      </c>
      <c r="H674" s="42" t="n">
        <v>0.005000001</v>
      </c>
      <c r="I674" s="60" t="str">
        <f aca="false">IFERROR(IF(ABS(F674-E674)&lt;=H674,"PASS","FAIL"),"FAIL")</f>
        <v>PASS</v>
      </c>
    </row>
    <row r="675" customFormat="false" ht="15" hidden="false" customHeight="false" outlineLevel="0" collapsed="false">
      <c r="B675" s="61" t="n">
        <v>667</v>
      </c>
      <c r="C675" s="9" t="s">
        <v>1380</v>
      </c>
      <c r="D675" s="9" t="s">
        <v>1389</v>
      </c>
      <c r="E675" s="11" t="n">
        <v>0.009</v>
      </c>
      <c r="F675" s="62" t="n">
        <f aca="false">Revision!$E$7</f>
        <v>0.00904304324990912</v>
      </c>
      <c r="G675" s="31" t="n">
        <f aca="false">IFERROR(F675-E675,"n/a")</f>
        <v>4.30432499091207E-005</v>
      </c>
      <c r="H675" s="42" t="n">
        <v>0.000500001</v>
      </c>
      <c r="I675" s="60" t="str">
        <f aca="false">IFERROR(IF(ABS(F675-E675)&lt;=H675,"PASS","FAIL"),"FAIL")</f>
        <v>PASS</v>
      </c>
    </row>
    <row r="676" customFormat="false" ht="15" hidden="false" customHeight="false" outlineLevel="0" collapsed="false">
      <c r="B676" s="61" t="n">
        <v>668</v>
      </c>
      <c r="C676" s="9" t="s">
        <v>1380</v>
      </c>
      <c r="D676" s="9" t="s">
        <v>1390</v>
      </c>
      <c r="E676" s="12" t="n">
        <v>2472.7</v>
      </c>
      <c r="F676" s="56" t="n">
        <f aca="false">Revision!$E$8</f>
        <v>2472.7092448</v>
      </c>
      <c r="G676" s="31" t="n">
        <f aca="false">IFERROR(F676-E676,"n/a")</f>
        <v>0.00924480000048789</v>
      </c>
      <c r="H676" s="42" t="n">
        <v>0.050000001</v>
      </c>
      <c r="I676" s="60" t="str">
        <f aca="false">IFERROR(IF(ABS(F676-E676)&lt;=H676,"PASS","FAIL"),"FAIL")</f>
        <v>PASS</v>
      </c>
    </row>
    <row r="677" customFormat="false" ht="15" hidden="false" customHeight="false" outlineLevel="0" collapsed="false">
      <c r="B677" s="61" t="n">
        <v>669</v>
      </c>
      <c r="C677" s="9" t="s">
        <v>1380</v>
      </c>
      <c r="D677" s="9" t="s">
        <v>1391</v>
      </c>
      <c r="E677" s="12" t="n">
        <v>2474.2</v>
      </c>
      <c r="F677" s="56" t="n">
        <f aca="false">Revision!$E$9</f>
        <v>2474.1662208</v>
      </c>
      <c r="G677" s="31" t="n">
        <f aca="false">IFERROR(F677-E677,"n/a")</f>
        <v>-0.0337792000000263</v>
      </c>
      <c r="H677" s="42" t="n">
        <v>0.050000001</v>
      </c>
      <c r="I677" s="60" t="str">
        <f aca="false">IFERROR(IF(ABS(F677-E677)&lt;=H677,"PASS","FAIL"),"FAIL")</f>
        <v>PASS</v>
      </c>
    </row>
    <row r="678" customFormat="false" ht="15" hidden="false" customHeight="false" outlineLevel="0" collapsed="false">
      <c r="B678" s="61" t="n">
        <v>670</v>
      </c>
      <c r="C678" s="9" t="s">
        <v>1380</v>
      </c>
      <c r="D678" s="9" t="s">
        <v>1392</v>
      </c>
      <c r="E678" s="24" t="n">
        <v>5.76</v>
      </c>
      <c r="F678" s="55" t="n">
        <f aca="false">Revision!$F$5</f>
        <v>5.76486099307068</v>
      </c>
      <c r="G678" s="31" t="n">
        <f aca="false">IFERROR(F678-E678,"n/a")</f>
        <v>0.00486099307067978</v>
      </c>
      <c r="H678" s="42" t="n">
        <v>0.005000001</v>
      </c>
      <c r="I678" s="60" t="str">
        <f aca="false">IFERROR(IF(ABS(F678-E678)&lt;=H678,"PASS","FAIL"),"FAIL")</f>
        <v>PASS</v>
      </c>
    </row>
    <row r="679" customFormat="false" ht="15" hidden="false" customHeight="false" outlineLevel="0" collapsed="false">
      <c r="B679" s="61" t="n">
        <v>671</v>
      </c>
      <c r="C679" s="9" t="s">
        <v>1380</v>
      </c>
      <c r="D679" s="9" t="s">
        <v>1393</v>
      </c>
      <c r="E679" s="24" t="n">
        <v>5.84</v>
      </c>
      <c r="F679" s="55" t="n">
        <f aca="false">Revision!$F$6</f>
        <v>5.83861230983321</v>
      </c>
      <c r="G679" s="31" t="n">
        <f aca="false">IFERROR(F679-E679,"n/a")</f>
        <v>-0.00138769016679241</v>
      </c>
      <c r="H679" s="42" t="n">
        <v>0.005000001</v>
      </c>
      <c r="I679" s="60" t="str">
        <f aca="false">IFERROR(IF(ABS(F679-E679)&lt;=H679,"PASS","FAIL"),"FAIL")</f>
        <v>PASS</v>
      </c>
    </row>
    <row r="680" customFormat="false" ht="15" hidden="false" customHeight="false" outlineLevel="0" collapsed="false">
      <c r="B680" s="61" t="n">
        <v>672</v>
      </c>
      <c r="C680" s="9" t="s">
        <v>1380</v>
      </c>
      <c r="D680" s="9" t="s">
        <v>1394</v>
      </c>
      <c r="E680" s="11" t="n">
        <v>0.013</v>
      </c>
      <c r="F680" s="62" t="n">
        <f aca="false">Revision!$F$7</f>
        <v>0.012793251537405</v>
      </c>
      <c r="G680" s="31" t="n">
        <f aca="false">IFERROR(F680-E680,"n/a")</f>
        <v>-0.00020674846259504</v>
      </c>
      <c r="H680" s="42" t="n">
        <v>0.000500001</v>
      </c>
      <c r="I680" s="60" t="str">
        <f aca="false">IFERROR(IF(ABS(F680-E680)&lt;=H680,"PASS","FAIL"),"FAIL")</f>
        <v>PASS</v>
      </c>
    </row>
    <row r="681" customFormat="false" ht="15" hidden="false" customHeight="false" outlineLevel="0" collapsed="false">
      <c r="B681" s="61" t="n">
        <v>673</v>
      </c>
      <c r="C681" s="9" t="s">
        <v>1380</v>
      </c>
      <c r="D681" s="9" t="s">
        <v>1395</v>
      </c>
      <c r="E681" s="12" t="n">
        <v>2628</v>
      </c>
      <c r="F681" s="56" t="n">
        <f aca="false">Revision!$F$8</f>
        <v>2627.96703228328</v>
      </c>
      <c r="G681" s="31" t="n">
        <f aca="false">IFERROR(F681-E681,"n/a")</f>
        <v>-0.0329677167201226</v>
      </c>
      <c r="H681" s="42" t="n">
        <v>0.050000001</v>
      </c>
      <c r="I681" s="60" t="str">
        <f aca="false">IFERROR(IF(ABS(F681-E681)&lt;=H681,"PASS","FAIL"),"FAIL")</f>
        <v>PASS</v>
      </c>
    </row>
    <row r="682" customFormat="false" ht="15" hidden="false" customHeight="false" outlineLevel="0" collapsed="false">
      <c r="B682" s="61" t="n">
        <v>674</v>
      </c>
      <c r="C682" s="9" t="s">
        <v>1380</v>
      </c>
      <c r="D682" s="9" t="s">
        <v>1396</v>
      </c>
      <c r="E682" s="12" t="n">
        <v>2634.4</v>
      </c>
      <c r="F682" s="56" t="n">
        <f aca="false">Revision!$F$9</f>
        <v>2634.38965587928</v>
      </c>
      <c r="G682" s="31" t="n">
        <f aca="false">IFERROR(F682-E682,"n/a")</f>
        <v>-0.0103441207206743</v>
      </c>
      <c r="H682" s="42" t="n">
        <v>0.050000001</v>
      </c>
      <c r="I682" s="60" t="str">
        <f aca="false">IFERROR(IF(ABS(F682-E682)&lt;=H682,"PASS","FAIL"),"FAIL")</f>
        <v>PASS</v>
      </c>
    </row>
    <row r="683" customFormat="false" ht="15" hidden="false" customHeight="false" outlineLevel="0" collapsed="false">
      <c r="B683" s="61" t="n">
        <v>675</v>
      </c>
      <c r="C683" s="9" t="s">
        <v>1380</v>
      </c>
      <c r="D683" s="9" t="s">
        <v>1397</v>
      </c>
      <c r="E683" s="12" t="n">
        <v>1142.3</v>
      </c>
      <c r="F683" s="56" t="n">
        <f aca="false">Revision!$G$39</f>
        <v>1142.26</v>
      </c>
      <c r="G683" s="31" t="n">
        <f aca="false">IFERROR(F683-E683,"n/a")</f>
        <v>-0.040000000000191</v>
      </c>
      <c r="H683" s="42" t="n">
        <v>0.050000001</v>
      </c>
      <c r="I683" s="60" t="str">
        <f aca="false">IFERROR(IF(ABS(F683-E683)&lt;=H683,"PASS","FAIL"),"FAIL")</f>
        <v>PASS</v>
      </c>
    </row>
    <row r="684" customFormat="false" ht="15" hidden="false" customHeight="false" outlineLevel="0" collapsed="false">
      <c r="B684" s="61" t="n">
        <v>676</v>
      </c>
      <c r="C684" s="9" t="s">
        <v>1380</v>
      </c>
      <c r="D684" s="9" t="s">
        <v>1398</v>
      </c>
      <c r="E684" s="12" t="n">
        <v>711.8</v>
      </c>
      <c r="F684" s="56" t="n">
        <f aca="false">Revision!$G$43</f>
        <v>711.76</v>
      </c>
      <c r="G684" s="31" t="n">
        <f aca="false">IFERROR(F684-E684,"n/a")</f>
        <v>-0.0400000000000773</v>
      </c>
      <c r="H684" s="42" t="n">
        <v>0.050000001</v>
      </c>
      <c r="I684" s="60" t="str">
        <f aca="false">IFERROR(IF(ABS(F684-E684)&lt;=H684,"PASS","FAIL"),"FAIL")</f>
        <v>PASS</v>
      </c>
    </row>
    <row r="685" customFormat="false" ht="15" hidden="false" customHeight="false" outlineLevel="0" collapsed="false">
      <c r="B685" s="61" t="n">
        <v>677</v>
      </c>
      <c r="C685" s="9" t="s">
        <v>1380</v>
      </c>
      <c r="D685" s="9" t="s">
        <v>1399</v>
      </c>
      <c r="E685" s="12" t="n">
        <v>471.3</v>
      </c>
      <c r="F685" s="56" t="n">
        <f aca="false">Revision!$G$47</f>
        <v>471.328</v>
      </c>
      <c r="G685" s="31" t="n">
        <f aca="false">IFERROR(F685-E685,"n/a")</f>
        <v>0.0280000000000769</v>
      </c>
      <c r="H685" s="42" t="n">
        <v>0.050000001</v>
      </c>
      <c r="I685" s="60" t="str">
        <f aca="false">IFERROR(IF(ABS(F685-E685)&lt;=H685,"PASS","FAIL"),"FAIL")</f>
        <v>PASS</v>
      </c>
    </row>
    <row r="686" customFormat="false" ht="15" hidden="false" customHeight="false" outlineLevel="0" collapsed="false">
      <c r="B686" s="61" t="n">
        <v>678</v>
      </c>
      <c r="C686" s="9" t="s">
        <v>1380</v>
      </c>
      <c r="D686" s="9" t="s">
        <v>1400</v>
      </c>
      <c r="E686" s="12" t="n">
        <v>1182.6</v>
      </c>
      <c r="F686" s="56" t="n">
        <f aca="false">Revision!$H$39</f>
        <v>1182.581778</v>
      </c>
      <c r="G686" s="31" t="n">
        <f aca="false">IFERROR(F686-E686,"n/a")</f>
        <v>-0.0182220000003781</v>
      </c>
      <c r="H686" s="42" t="n">
        <v>0.050000001</v>
      </c>
      <c r="I686" s="60" t="str">
        <f aca="false">IFERROR(IF(ABS(F686-E686)&lt;=H686,"PASS","FAIL"),"FAIL")</f>
        <v>PASS</v>
      </c>
    </row>
    <row r="687" customFormat="false" ht="15" hidden="false" customHeight="false" outlineLevel="0" collapsed="false">
      <c r="B687" s="61" t="n">
        <v>679</v>
      </c>
      <c r="C687" s="9" t="s">
        <v>1380</v>
      </c>
      <c r="D687" s="9" t="s">
        <v>1401</v>
      </c>
      <c r="E687" s="12" t="n">
        <v>784.3</v>
      </c>
      <c r="F687" s="56" t="n">
        <f aca="false">Revision!$H$43</f>
        <v>784.27055</v>
      </c>
      <c r="G687" s="31" t="n">
        <f aca="false">IFERROR(F687-E687,"n/a")</f>
        <v>-0.0294500000001108</v>
      </c>
      <c r="H687" s="42" t="n">
        <v>0.050000001</v>
      </c>
      <c r="I687" s="60" t="str">
        <f aca="false">IFERROR(IF(ABS(F687-E687)&lt;=H687,"PASS","FAIL"),"FAIL")</f>
        <v>PASS</v>
      </c>
    </row>
    <row r="688" customFormat="false" ht="15" hidden="false" customHeight="false" outlineLevel="0" collapsed="false">
      <c r="B688" s="61" t="n">
        <v>680</v>
      </c>
      <c r="C688" s="9" t="s">
        <v>1380</v>
      </c>
      <c r="D688" s="9" t="s">
        <v>1402</v>
      </c>
      <c r="E688" s="12" t="n">
        <v>507.3</v>
      </c>
      <c r="F688" s="56" t="n">
        <f aca="false">Revision!$H$47</f>
        <v>507.3138928</v>
      </c>
      <c r="G688" s="31" t="n">
        <f aca="false">IFERROR(F688-E688,"n/a")</f>
        <v>0.0138928000000647</v>
      </c>
      <c r="H688" s="42" t="n">
        <v>0.050000001</v>
      </c>
      <c r="I688" s="60" t="str">
        <f aca="false">IFERROR(IF(ABS(F688-E688)&lt;=H688,"PASS","FAIL"),"FAIL")</f>
        <v>PASS</v>
      </c>
    </row>
    <row r="689" customFormat="false" ht="15" hidden="false" customHeight="false" outlineLevel="0" collapsed="false">
      <c r="B689" s="61" t="n">
        <v>681</v>
      </c>
      <c r="C689" s="9" t="s">
        <v>1380</v>
      </c>
      <c r="D689" s="9" t="s">
        <v>1403</v>
      </c>
      <c r="E689" s="11" t="n">
        <v>-0.011</v>
      </c>
      <c r="F689" s="62" t="n">
        <f aca="false">Revision!$D$11</f>
        <v>-0.0106735964044944</v>
      </c>
      <c r="G689" s="31" t="n">
        <f aca="false">IFERROR(F689-E689,"n/a")</f>
        <v>0.00032640359550561</v>
      </c>
      <c r="H689" s="42" t="n">
        <v>0.000500001</v>
      </c>
      <c r="I689" s="60" t="str">
        <f aca="false">IFERROR(IF(ABS(F689-E689)&lt;=H689,"PASS","FAIL"),"FAIL")</f>
        <v>PASS</v>
      </c>
    </row>
    <row r="690" customFormat="false" ht="15" hidden="false" customHeight="false" outlineLevel="0" collapsed="false">
      <c r="B690" s="61" t="n">
        <v>682</v>
      </c>
      <c r="C690" s="9" t="s">
        <v>1380</v>
      </c>
      <c r="D690" s="9" t="s">
        <v>1404</v>
      </c>
      <c r="E690" s="24" t="n">
        <v>102.08</v>
      </c>
      <c r="F690" s="55" t="n">
        <f aca="false">Revision!$D$13</f>
        <v>102.075053423896</v>
      </c>
      <c r="G690" s="31" t="n">
        <f aca="false">IFERROR(F690-E690,"n/a")</f>
        <v>-0.00494657610441607</v>
      </c>
      <c r="H690" s="42" t="n">
        <v>0.005000001</v>
      </c>
      <c r="I690" s="60" t="str">
        <f aca="false">IFERROR(IF(ABS(F690-E690)&lt;=H690,"PASS","FAIL"),"FAIL")</f>
        <v>PASS</v>
      </c>
    </row>
    <row r="691" customFormat="false" ht="15" hidden="false" customHeight="false" outlineLevel="0" collapsed="false">
      <c r="B691" s="61" t="n">
        <v>683</v>
      </c>
      <c r="C691" s="9" t="s">
        <v>1380</v>
      </c>
      <c r="D691" s="9" t="s">
        <v>1405</v>
      </c>
      <c r="E691" s="64" t="n">
        <v>102</v>
      </c>
      <c r="F691" s="34" t="n">
        <f aca="false">Revision!$D$14</f>
        <v>102</v>
      </c>
      <c r="G691" s="31" t="n">
        <f aca="false">IFERROR(F691-E691,"n/a")</f>
        <v>0</v>
      </c>
      <c r="H691" s="42" t="n">
        <v>0.500000001</v>
      </c>
      <c r="I691" s="60" t="str">
        <f aca="false">IFERROR(IF(ABS(F691-E691)&lt;=H691,"PASS","FAIL"),"FAIL")</f>
        <v>PASS</v>
      </c>
    </row>
    <row r="692" customFormat="false" ht="15" hidden="false" customHeight="false" outlineLevel="0" collapsed="false">
      <c r="B692" s="61" t="n">
        <v>684</v>
      </c>
      <c r="C692" s="9" t="s">
        <v>1380</v>
      </c>
      <c r="D692" s="9" t="s">
        <v>1406</v>
      </c>
      <c r="E692" s="12" t="n">
        <v>17.5</v>
      </c>
      <c r="F692" s="56" t="n">
        <f aca="false">Revision!$D$18</f>
        <v>17.4574487556642</v>
      </c>
      <c r="G692" s="31" t="n">
        <f aca="false">IFERROR(F692-E692,"n/a")</f>
        <v>-0.0425512443358294</v>
      </c>
      <c r="H692" s="42" t="n">
        <v>0.050000001</v>
      </c>
      <c r="I692" s="60" t="str">
        <f aca="false">IFERROR(IF(ABS(F692-E692)&lt;=H692,"PASS","FAIL"),"FAIL")</f>
        <v>PASS</v>
      </c>
    </row>
    <row r="693" customFormat="false" ht="15" hidden="false" customHeight="false" outlineLevel="0" collapsed="false">
      <c r="B693" s="61" t="n">
        <v>685</v>
      </c>
      <c r="C693" s="9" t="s">
        <v>1380</v>
      </c>
      <c r="D693" s="9" t="s">
        <v>1407</v>
      </c>
      <c r="E693" s="12" t="n">
        <v>18.3</v>
      </c>
      <c r="F693" s="56" t="n">
        <f aca="false">Revision!$D$19</f>
        <v>18.2708696928628</v>
      </c>
      <c r="G693" s="31" t="n">
        <f aca="false">IFERROR(F693-E693,"n/a")</f>
        <v>-0.0291303071372475</v>
      </c>
      <c r="H693" s="42" t="n">
        <v>0.050000001</v>
      </c>
      <c r="I693" s="60" t="str">
        <f aca="false">IFERROR(IF(ABS(F693-E693)&lt;=H693,"PASS","FAIL"),"FAIL")</f>
        <v>PASS</v>
      </c>
    </row>
    <row r="694" customFormat="false" ht="15" hidden="false" customHeight="false" outlineLevel="0" collapsed="false">
      <c r="B694" s="61" t="n">
        <v>686</v>
      </c>
      <c r="C694" s="9" t="s">
        <v>1380</v>
      </c>
      <c r="D694" s="9" t="s">
        <v>1408</v>
      </c>
      <c r="E694" s="24" t="n">
        <v>89.1</v>
      </c>
      <c r="F694" s="55" t="n">
        <f aca="false">Revision!$D$20</f>
        <v>89.098500718967</v>
      </c>
      <c r="G694" s="31" t="n">
        <f aca="false">IFERROR(F694-E694,"n/a")</f>
        <v>-0.00149928103301988</v>
      </c>
      <c r="H694" s="42" t="n">
        <v>0.005000001</v>
      </c>
      <c r="I694" s="60" t="str">
        <f aca="false">IFERROR(IF(ABS(F694-E694)&lt;=H694,"PASS","FAIL"),"FAIL")</f>
        <v>PASS</v>
      </c>
    </row>
    <row r="695" customFormat="false" ht="15" hidden="false" customHeight="false" outlineLevel="0" collapsed="false">
      <c r="B695" s="61" t="n">
        <v>687</v>
      </c>
      <c r="C695" s="9" t="s">
        <v>1380</v>
      </c>
      <c r="D695" s="9" t="s">
        <v>1409</v>
      </c>
      <c r="E695" s="11" t="n">
        <v>0.009</v>
      </c>
      <c r="F695" s="62" t="n">
        <f aca="false">Revision!$E$7</f>
        <v>0.00904304324990912</v>
      </c>
      <c r="G695" s="31" t="n">
        <f aca="false">IFERROR(F695-E695,"n/a")</f>
        <v>4.30432499091207E-005</v>
      </c>
      <c r="H695" s="42" t="n">
        <v>0.000500001</v>
      </c>
      <c r="I695" s="60" t="str">
        <f aca="false">IFERROR(IF(ABS(F695-E695)&lt;=H695,"PASS","FAIL"),"FAIL")</f>
        <v>PASS</v>
      </c>
    </row>
    <row r="696" customFormat="false" ht="15" hidden="false" customHeight="false" outlineLevel="0" collapsed="false">
      <c r="B696" s="61" t="n">
        <v>688</v>
      </c>
      <c r="C696" s="9" t="s">
        <v>1380</v>
      </c>
      <c r="D696" s="9" t="s">
        <v>1410</v>
      </c>
      <c r="E696" s="11" t="n">
        <v>0.094</v>
      </c>
      <c r="F696" s="62" t="n">
        <f aca="false">Revision!$D$22</f>
        <v>0.093833780160858</v>
      </c>
      <c r="G696" s="31" t="n">
        <f aca="false">IFERROR(F696-E696,"n/a")</f>
        <v>-0.000166219839142029</v>
      </c>
      <c r="H696" s="42" t="n">
        <v>0.000500001</v>
      </c>
      <c r="I696" s="60" t="str">
        <f aca="false">IFERROR(IF(ABS(F696-E696)&lt;=H696,"PASS","FAIL"),"FAIL")</f>
        <v>PASS</v>
      </c>
    </row>
    <row r="697" customFormat="false" ht="15" hidden="false" customHeight="false" outlineLevel="0" collapsed="false">
      <c r="B697" s="61" t="n">
        <v>689</v>
      </c>
      <c r="C697" s="9" t="s">
        <v>1380</v>
      </c>
      <c r="D697" s="9" t="s">
        <v>1411</v>
      </c>
      <c r="E697" s="11" t="n">
        <v>0.012</v>
      </c>
      <c r="F697" s="62" t="n">
        <f aca="false">Revision!$D$23</f>
        <v>0.0117962466487936</v>
      </c>
      <c r="G697" s="31" t="n">
        <f aca="false">IFERROR(F697-E697,"n/a")</f>
        <v>-0.000203753351206433</v>
      </c>
      <c r="H697" s="42" t="n">
        <v>0.000500001</v>
      </c>
      <c r="I697" s="60" t="str">
        <f aca="false">IFERROR(IF(ABS(F697-E697)&lt;=H697,"PASS","FAIL"),"FAIL")</f>
        <v>PASS</v>
      </c>
    </row>
    <row r="698" customFormat="false" ht="15" hidden="false" customHeight="false" outlineLevel="0" collapsed="false">
      <c r="B698" s="61" t="n">
        <v>690</v>
      </c>
      <c r="C698" s="9" t="s">
        <v>1380</v>
      </c>
      <c r="D698" s="9" t="s">
        <v>565</v>
      </c>
      <c r="E698" s="11" t="n">
        <v>0.106</v>
      </c>
      <c r="F698" s="62" t="n">
        <f aca="false">Revision!$D$24</f>
        <v>0.105630026809652</v>
      </c>
      <c r="G698" s="31" t="n">
        <f aca="false">IFERROR(F698-E698,"n/a")</f>
        <v>-0.000369973190348455</v>
      </c>
      <c r="H698" s="42" t="n">
        <v>0.000500001</v>
      </c>
      <c r="I698" s="60" t="str">
        <f aca="false">IFERROR(IF(ABS(F698-E698)&lt;=H698,"PASS","FAIL"),"FAIL")</f>
        <v>PASS</v>
      </c>
    </row>
    <row r="699" customFormat="false" ht="15" hidden="false" customHeight="false" outlineLevel="0" collapsed="false">
      <c r="B699" s="61" t="n">
        <v>691</v>
      </c>
      <c r="C699" s="9" t="s">
        <v>1380</v>
      </c>
      <c r="D699" s="9" t="s">
        <v>1412</v>
      </c>
      <c r="E699" s="66" t="s">
        <v>180</v>
      </c>
      <c r="F699" s="67" t="str">
        <f aca="false">Revision!$D$25</f>
        <v>Hold</v>
      </c>
      <c r="G699" s="9"/>
      <c r="H699" s="9"/>
      <c r="I699" s="60" t="str">
        <f aca="false">IFERROR(IF(EXACT(F699,E699),"PASS","FAIL"),"FAIL")</f>
        <v>PASS</v>
      </c>
    </row>
    <row r="700" customFormat="false" ht="15" hidden="false" customHeight="false" outlineLevel="0" collapsed="false">
      <c r="B700" s="61" t="n">
        <v>692</v>
      </c>
      <c r="C700" s="9" t="s">
        <v>1380</v>
      </c>
      <c r="D700" s="9" t="s">
        <v>1413</v>
      </c>
      <c r="E700" s="24" t="n">
        <v>106.14</v>
      </c>
      <c r="F700" s="55" t="n">
        <f aca="false">Revision!$D$26</f>
        <v>106.1375</v>
      </c>
      <c r="G700" s="31" t="n">
        <f aca="false">IFERROR(F700-E700,"n/a")</f>
        <v>-0.00249999999999773</v>
      </c>
      <c r="H700" s="42" t="n">
        <v>0.005000001</v>
      </c>
      <c r="I700" s="60" t="str">
        <f aca="false">IFERROR(IF(ABS(F700-E700)&lt;=H700,"PASS","FAIL"),"FAIL")</f>
        <v>PASS</v>
      </c>
    </row>
    <row r="701" customFormat="false" ht="15" hidden="false" customHeight="false" outlineLevel="0" collapsed="false">
      <c r="B701" s="61" t="n">
        <v>693</v>
      </c>
      <c r="C701" s="9" t="s">
        <v>1380</v>
      </c>
      <c r="D701" s="9" t="s">
        <v>1414</v>
      </c>
      <c r="E701" s="12" t="n">
        <v>20.8</v>
      </c>
      <c r="F701" s="56" t="n">
        <f aca="false">Revision!$D$27</f>
        <v>20.7959724614072</v>
      </c>
      <c r="G701" s="31" t="n">
        <f aca="false">IFERROR(F701-E701,"n/a")</f>
        <v>-0.00402753859281191</v>
      </c>
      <c r="H701" s="42" t="n">
        <v>0.050000001</v>
      </c>
      <c r="I701" s="60" t="str">
        <f aca="false">IFERROR(IF(ABS(F701-E701)&lt;=H701,"PASS","FAIL"),"FAIL")</f>
        <v>PASS</v>
      </c>
    </row>
    <row r="702" customFormat="false" ht="15" hidden="false" customHeight="false" outlineLevel="0" collapsed="false">
      <c r="B702" s="61" t="n">
        <v>694</v>
      </c>
      <c r="C702" s="9" t="s">
        <v>1415</v>
      </c>
      <c r="D702" s="9" t="s">
        <v>1416</v>
      </c>
      <c r="E702" s="11" t="n">
        <v>0.204</v>
      </c>
      <c r="F702" s="62" t="n">
        <f aca="false">TrackRecord!$G$5</f>
        <v>0.204275534441805</v>
      </c>
      <c r="G702" s="31" t="n">
        <f aca="false">IFERROR(F702-E702,"n/a")</f>
        <v>0.000275534441805031</v>
      </c>
      <c r="H702" s="42" t="n">
        <v>0.000500001</v>
      </c>
      <c r="I702" s="60" t="str">
        <f aca="false">IFERROR(IF(ABS(F702-E702)&lt;=H702,"PASS","FAIL"),"FAIL")</f>
        <v>PASS</v>
      </c>
    </row>
    <row r="703" customFormat="false" ht="15" hidden="false" customHeight="false" outlineLevel="0" collapsed="false">
      <c r="B703" s="61" t="n">
        <v>695</v>
      </c>
      <c r="C703" s="9" t="s">
        <v>1415</v>
      </c>
      <c r="D703" s="9" t="s">
        <v>1417</v>
      </c>
      <c r="E703" s="11" t="n">
        <v>0.142</v>
      </c>
      <c r="F703" s="62" t="n">
        <f aca="false">TrackRecord!$I$5</f>
        <v>0.142275534441805</v>
      </c>
      <c r="G703" s="31" t="n">
        <f aca="false">IFERROR(F703-E703,"n/a")</f>
        <v>0.000275534441805031</v>
      </c>
      <c r="H703" s="42" t="n">
        <v>0.000500001</v>
      </c>
      <c r="I703" s="60" t="str">
        <f aca="false">IFERROR(IF(ABS(F703-E703)&lt;=H703,"PASS","FAIL"),"FAIL")</f>
        <v>PASS</v>
      </c>
    </row>
    <row r="704" customFormat="false" ht="15" hidden="false" customHeight="false" outlineLevel="0" collapsed="false">
      <c r="B704" s="61" t="n">
        <v>696</v>
      </c>
      <c r="C704" s="9" t="s">
        <v>1415</v>
      </c>
      <c r="D704" s="9" t="s">
        <v>1418</v>
      </c>
      <c r="E704" s="66" t="s">
        <v>1419</v>
      </c>
      <c r="F704" s="67" t="str">
        <f aca="false">TrackRecord!$J$5</f>
        <v>yes</v>
      </c>
      <c r="G704" s="9"/>
      <c r="H704" s="9"/>
      <c r="I704" s="60" t="str">
        <f aca="false">IFERROR(IF(EXACT(F704,E704),"PASS","FAIL"),"FAIL")</f>
        <v>PASS</v>
      </c>
    </row>
    <row r="705" customFormat="false" ht="15" hidden="false" customHeight="false" outlineLevel="0" collapsed="false">
      <c r="B705" s="61" t="n">
        <v>697</v>
      </c>
      <c r="C705" s="9" t="s">
        <v>1415</v>
      </c>
      <c r="D705" s="9" t="s">
        <v>1420</v>
      </c>
      <c r="E705" s="11" t="n">
        <v>-0.03</v>
      </c>
      <c r="F705" s="62" t="n">
        <f aca="false">TrackRecord!$G$6</f>
        <v>-0.0296610169491526</v>
      </c>
      <c r="G705" s="31" t="n">
        <f aca="false">IFERROR(F705-E705,"n/a")</f>
        <v>0.000338983050847425</v>
      </c>
      <c r="H705" s="42" t="n">
        <v>0.000500001</v>
      </c>
      <c r="I705" s="60" t="str">
        <f aca="false">IFERROR(IF(ABS(F705-E705)&lt;=H705,"PASS","FAIL"),"FAIL")</f>
        <v>PASS</v>
      </c>
    </row>
    <row r="706" customFormat="false" ht="15" hidden="false" customHeight="false" outlineLevel="0" collapsed="false">
      <c r="B706" s="61" t="n">
        <v>698</v>
      </c>
      <c r="C706" s="9" t="s">
        <v>1415</v>
      </c>
      <c r="D706" s="9" t="s">
        <v>1421</v>
      </c>
      <c r="E706" s="11" t="n">
        <v>-0.092</v>
      </c>
      <c r="F706" s="62" t="n">
        <f aca="false">TrackRecord!$I$6</f>
        <v>-0.0916610169491526</v>
      </c>
      <c r="G706" s="31" t="n">
        <f aca="false">IFERROR(F706-E706,"n/a")</f>
        <v>0.000338983050847425</v>
      </c>
      <c r="H706" s="42" t="n">
        <v>0.000500001</v>
      </c>
      <c r="I706" s="60" t="str">
        <f aca="false">IFERROR(IF(ABS(F706-E706)&lt;=H706,"PASS","FAIL"),"FAIL")</f>
        <v>PASS</v>
      </c>
    </row>
    <row r="707" customFormat="false" ht="15" hidden="false" customHeight="false" outlineLevel="0" collapsed="false">
      <c r="B707" s="61" t="n">
        <v>699</v>
      </c>
      <c r="C707" s="9" t="s">
        <v>1415</v>
      </c>
      <c r="D707" s="9" t="s">
        <v>1422</v>
      </c>
      <c r="E707" s="66" t="s">
        <v>1423</v>
      </c>
      <c r="F707" s="67" t="str">
        <f aca="false">TrackRecord!$J$6</f>
        <v>no</v>
      </c>
      <c r="G707" s="9"/>
      <c r="H707" s="9"/>
      <c r="I707" s="60" t="str">
        <f aca="false">IFERROR(IF(EXACT(F707,E707),"PASS","FAIL"),"FAIL")</f>
        <v>PASS</v>
      </c>
    </row>
    <row r="708" customFormat="false" ht="15" hidden="false" customHeight="false" outlineLevel="0" collapsed="false">
      <c r="B708" s="61" t="n">
        <v>700</v>
      </c>
      <c r="C708" s="9" t="s">
        <v>1415</v>
      </c>
      <c r="D708" s="9" t="s">
        <v>1424</v>
      </c>
      <c r="E708" s="11" t="n">
        <v>0.063</v>
      </c>
      <c r="F708" s="62" t="n">
        <f aca="false">TrackRecord!$G$7</f>
        <v>0.0625954198473284</v>
      </c>
      <c r="G708" s="31" t="n">
        <f aca="false">IFERROR(F708-E708,"n/a")</f>
        <v>-0.000404580152671585</v>
      </c>
      <c r="H708" s="42" t="n">
        <v>0.000500001</v>
      </c>
      <c r="I708" s="60" t="str">
        <f aca="false">IFERROR(IF(ABS(F708-E708)&lt;=H708,"PASS","FAIL"),"FAIL")</f>
        <v>PASS</v>
      </c>
    </row>
    <row r="709" customFormat="false" ht="15" hidden="false" customHeight="false" outlineLevel="0" collapsed="false">
      <c r="B709" s="61" t="n">
        <v>701</v>
      </c>
      <c r="C709" s="9" t="s">
        <v>1415</v>
      </c>
      <c r="D709" s="9" t="s">
        <v>1425</v>
      </c>
      <c r="E709" s="11" t="n">
        <v>0.001</v>
      </c>
      <c r="F709" s="62" t="n">
        <f aca="false">TrackRecord!$I$7</f>
        <v>0.000595419847328416</v>
      </c>
      <c r="G709" s="31" t="n">
        <f aca="false">IFERROR(F709-E709,"n/a")</f>
        <v>-0.000404580152671584</v>
      </c>
      <c r="H709" s="42" t="n">
        <v>0.000500001</v>
      </c>
      <c r="I709" s="60" t="str">
        <f aca="false">IFERROR(IF(ABS(F709-E709)&lt;=H709,"PASS","FAIL"),"FAIL")</f>
        <v>PASS</v>
      </c>
    </row>
    <row r="710" customFormat="false" ht="15" hidden="false" customHeight="false" outlineLevel="0" collapsed="false">
      <c r="B710" s="61" t="n">
        <v>702</v>
      </c>
      <c r="C710" s="9" t="s">
        <v>1415</v>
      </c>
      <c r="D710" s="9" t="s">
        <v>1426</v>
      </c>
      <c r="E710" s="66" t="s">
        <v>1419</v>
      </c>
      <c r="F710" s="67" t="str">
        <f aca="false">TrackRecord!$J$7</f>
        <v>yes</v>
      </c>
      <c r="G710" s="9"/>
      <c r="H710" s="9"/>
      <c r="I710" s="60" t="str">
        <f aca="false">IFERROR(IF(EXACT(F710,E710),"PASS","FAIL"),"FAIL")</f>
        <v>PASS</v>
      </c>
    </row>
    <row r="711" customFormat="false" ht="15" hidden="false" customHeight="false" outlineLevel="0" collapsed="false">
      <c r="B711" s="61" t="n">
        <v>703</v>
      </c>
      <c r="C711" s="9" t="s">
        <v>1415</v>
      </c>
      <c r="D711" s="9" t="s">
        <v>1427</v>
      </c>
      <c r="E711" s="11" t="n">
        <v>0.225</v>
      </c>
      <c r="F711" s="62" t="n">
        <f aca="false">TrackRecord!$G$8</f>
        <v>0.225263157894737</v>
      </c>
      <c r="G711" s="31" t="n">
        <f aca="false">IFERROR(F711-E711,"n/a")</f>
        <v>0.000263157894736826</v>
      </c>
      <c r="H711" s="42" t="n">
        <v>0.000500001</v>
      </c>
      <c r="I711" s="60" t="str">
        <f aca="false">IFERROR(IF(ABS(F711-E711)&lt;=H711,"PASS","FAIL"),"FAIL")</f>
        <v>PASS</v>
      </c>
    </row>
    <row r="712" customFormat="false" ht="15" hidden="false" customHeight="false" outlineLevel="0" collapsed="false">
      <c r="B712" s="61" t="n">
        <v>704</v>
      </c>
      <c r="C712" s="9" t="s">
        <v>1415</v>
      </c>
      <c r="D712" s="9" t="s">
        <v>1428</v>
      </c>
      <c r="E712" s="11" t="n">
        <v>0.184</v>
      </c>
      <c r="F712" s="62" t="n">
        <f aca="false">TrackRecord!$I$8</f>
        <v>0.184263157894737</v>
      </c>
      <c r="G712" s="31" t="n">
        <f aca="false">IFERROR(F712-E712,"n/a")</f>
        <v>0.000263157894736826</v>
      </c>
      <c r="H712" s="42" t="n">
        <v>0.000500001</v>
      </c>
      <c r="I712" s="60" t="str">
        <f aca="false">IFERROR(IF(ABS(F712-E712)&lt;=H712,"PASS","FAIL"),"FAIL")</f>
        <v>PASS</v>
      </c>
    </row>
    <row r="713" customFormat="false" ht="15" hidden="false" customHeight="false" outlineLevel="0" collapsed="false">
      <c r="B713" s="61" t="n">
        <v>705</v>
      </c>
      <c r="C713" s="9" t="s">
        <v>1415</v>
      </c>
      <c r="D713" s="9" t="s">
        <v>1429</v>
      </c>
      <c r="E713" s="66" t="s">
        <v>1419</v>
      </c>
      <c r="F713" s="67" t="str">
        <f aca="false">TrackRecord!$J$8</f>
        <v>yes</v>
      </c>
      <c r="G713" s="9"/>
      <c r="H713" s="9"/>
      <c r="I713" s="60" t="str">
        <f aca="false">IFERROR(IF(EXACT(F713,E713),"PASS","FAIL"),"FAIL")</f>
        <v>PASS</v>
      </c>
    </row>
    <row r="714" customFormat="false" ht="15" hidden="false" customHeight="false" outlineLevel="0" collapsed="false">
      <c r="B714" s="61" t="n">
        <v>706</v>
      </c>
      <c r="C714" s="9" t="s">
        <v>1415</v>
      </c>
      <c r="D714" s="9" t="s">
        <v>1430</v>
      </c>
      <c r="E714" s="11" t="n">
        <v>-0.065</v>
      </c>
      <c r="F714" s="62" t="n">
        <f aca="false">TrackRecord!$G$9</f>
        <v>-0.0646853146853147</v>
      </c>
      <c r="G714" s="31" t="n">
        <f aca="false">IFERROR(F714-E714,"n/a")</f>
        <v>0.000314685314685315</v>
      </c>
      <c r="H714" s="42" t="n">
        <v>0.000500001</v>
      </c>
      <c r="I714" s="60" t="str">
        <f aca="false">IFERROR(IF(ABS(F714-E714)&lt;=H714,"PASS","FAIL"),"FAIL")</f>
        <v>PASS</v>
      </c>
    </row>
    <row r="715" customFormat="false" ht="15" hidden="false" customHeight="false" outlineLevel="0" collapsed="false">
      <c r="B715" s="61" t="n">
        <v>707</v>
      </c>
      <c r="C715" s="9" t="s">
        <v>1415</v>
      </c>
      <c r="D715" s="9" t="s">
        <v>1431</v>
      </c>
      <c r="E715" s="11" t="n">
        <v>-0.106</v>
      </c>
      <c r="F715" s="62" t="n">
        <f aca="false">TrackRecord!$I$9</f>
        <v>-0.105685314685315</v>
      </c>
      <c r="G715" s="31" t="n">
        <f aca="false">IFERROR(F715-E715,"n/a")</f>
        <v>0.000314685314685301</v>
      </c>
      <c r="H715" s="42" t="n">
        <v>0.000500001</v>
      </c>
      <c r="I715" s="60" t="str">
        <f aca="false">IFERROR(IF(ABS(F715-E715)&lt;=H715,"PASS","FAIL"),"FAIL")</f>
        <v>PASS</v>
      </c>
    </row>
    <row r="716" customFormat="false" ht="15" hidden="false" customHeight="false" outlineLevel="0" collapsed="false">
      <c r="B716" s="61" t="n">
        <v>708</v>
      </c>
      <c r="C716" s="9" t="s">
        <v>1415</v>
      </c>
      <c r="D716" s="9" t="s">
        <v>1432</v>
      </c>
      <c r="E716" s="66" t="s">
        <v>1419</v>
      </c>
      <c r="F716" s="67" t="str">
        <f aca="false">TrackRecord!$J$9</f>
        <v>yes</v>
      </c>
      <c r="G716" s="9"/>
      <c r="H716" s="9"/>
      <c r="I716" s="60" t="str">
        <f aca="false">IFERROR(IF(EXACT(F716,E716),"PASS","FAIL"),"FAIL")</f>
        <v>PASS</v>
      </c>
    </row>
    <row r="717" customFormat="false" ht="15" hidden="false" customHeight="false" outlineLevel="0" collapsed="false">
      <c r="B717" s="61" t="n">
        <v>709</v>
      </c>
      <c r="C717" s="9" t="s">
        <v>1415</v>
      </c>
      <c r="D717" s="9" t="s">
        <v>1433</v>
      </c>
      <c r="E717" s="11" t="n">
        <v>0.14</v>
      </c>
      <c r="F717" s="62" t="n">
        <f aca="false">TrackRecord!$G$10</f>
        <v>0.139506172839506</v>
      </c>
      <c r="G717" s="31" t="n">
        <f aca="false">IFERROR(F717-E717,"n/a")</f>
        <v>-0.000493827160493843</v>
      </c>
      <c r="H717" s="42" t="n">
        <v>0.000500001</v>
      </c>
      <c r="I717" s="60" t="str">
        <f aca="false">IFERROR(IF(ABS(F717-E717)&lt;=H717,"PASS","FAIL"),"FAIL")</f>
        <v>PASS</v>
      </c>
    </row>
    <row r="718" customFormat="false" ht="15" hidden="false" customHeight="false" outlineLevel="0" collapsed="false">
      <c r="B718" s="61" t="n">
        <v>710</v>
      </c>
      <c r="C718" s="9" t="s">
        <v>1415</v>
      </c>
      <c r="D718" s="9" t="s">
        <v>1434</v>
      </c>
      <c r="E718" s="11" t="n">
        <v>0.099</v>
      </c>
      <c r="F718" s="62" t="n">
        <f aca="false">TrackRecord!$I$10</f>
        <v>0.0985061728395062</v>
      </c>
      <c r="G718" s="31" t="n">
        <f aca="false">IFERROR(F718-E718,"n/a")</f>
        <v>-0.000493827160493843</v>
      </c>
      <c r="H718" s="42" t="n">
        <v>0.000500001</v>
      </c>
      <c r="I718" s="60" t="str">
        <f aca="false">IFERROR(IF(ABS(F718-E718)&lt;=H718,"PASS","FAIL"),"FAIL")</f>
        <v>PASS</v>
      </c>
    </row>
    <row r="719" customFormat="false" ht="15" hidden="false" customHeight="false" outlineLevel="0" collapsed="false">
      <c r="B719" s="61" t="n">
        <v>711</v>
      </c>
      <c r="C719" s="9" t="s">
        <v>1415</v>
      </c>
      <c r="D719" s="9" t="s">
        <v>1435</v>
      </c>
      <c r="E719" s="66" t="s">
        <v>1423</v>
      </c>
      <c r="F719" s="67" t="str">
        <f aca="false">TrackRecord!$J$10</f>
        <v>no</v>
      </c>
      <c r="G719" s="9"/>
      <c r="H719" s="9"/>
      <c r="I719" s="60" t="str">
        <f aca="false">IFERROR(IF(EXACT(F719,E719),"PASS","FAIL"),"FAIL")</f>
        <v>PASS</v>
      </c>
    </row>
    <row r="720" customFormat="false" ht="15" hidden="false" customHeight="false" outlineLevel="0" collapsed="false">
      <c r="B720" s="61" t="n">
        <v>712</v>
      </c>
      <c r="C720" s="9" t="s">
        <v>1415</v>
      </c>
      <c r="D720" s="9" t="s">
        <v>1436</v>
      </c>
      <c r="E720" s="11" t="n">
        <v>0.066</v>
      </c>
      <c r="F720" s="62" t="n">
        <f aca="false">TrackRecord!$G$11</f>
        <v>0.0659340659340661</v>
      </c>
      <c r="G720" s="31" t="n">
        <f aca="false">IFERROR(F720-E720,"n/a")</f>
        <v>-6.59340659338592E-005</v>
      </c>
      <c r="H720" s="42" t="n">
        <v>0.000500001</v>
      </c>
      <c r="I720" s="60" t="str">
        <f aca="false">IFERROR(IF(ABS(F720-E720)&lt;=H720,"PASS","FAIL"),"FAIL")</f>
        <v>PASS</v>
      </c>
    </row>
    <row r="721" customFormat="false" ht="15" hidden="false" customHeight="false" outlineLevel="0" collapsed="false">
      <c r="B721" s="61" t="n">
        <v>713</v>
      </c>
      <c r="C721" s="9" t="s">
        <v>1415</v>
      </c>
      <c r="D721" s="9" t="s">
        <v>1437</v>
      </c>
      <c r="E721" s="11" t="n">
        <v>-0.052</v>
      </c>
      <c r="F721" s="62" t="n">
        <f aca="false">TrackRecord!$I$11</f>
        <v>-0.0520659340659339</v>
      </c>
      <c r="G721" s="31" t="n">
        <f aca="false">IFERROR(F721-E721,"n/a")</f>
        <v>-6.59340659338523E-005</v>
      </c>
      <c r="H721" s="42" t="n">
        <v>0.000500001</v>
      </c>
      <c r="I721" s="60" t="str">
        <f aca="false">IFERROR(IF(ABS(F721-E721)&lt;=H721,"PASS","FAIL"),"FAIL")</f>
        <v>PASS</v>
      </c>
    </row>
    <row r="722" customFormat="false" ht="15" hidden="false" customHeight="false" outlineLevel="0" collapsed="false">
      <c r="B722" s="61" t="n">
        <v>714</v>
      </c>
      <c r="C722" s="9" t="s">
        <v>1415</v>
      </c>
      <c r="D722" s="9" t="s">
        <v>1438</v>
      </c>
      <c r="E722" s="66" t="s">
        <v>1423</v>
      </c>
      <c r="F722" s="67" t="str">
        <f aca="false">TrackRecord!$J$11</f>
        <v>no</v>
      </c>
      <c r="G722" s="9"/>
      <c r="H722" s="9"/>
      <c r="I722" s="60" t="str">
        <f aca="false">IFERROR(IF(EXACT(F722,E722),"PASS","FAIL"),"FAIL")</f>
        <v>PASS</v>
      </c>
    </row>
    <row r="723" customFormat="false" ht="15" hidden="false" customHeight="false" outlineLevel="0" collapsed="false">
      <c r="B723" s="61" t="n">
        <v>715</v>
      </c>
      <c r="C723" s="9" t="s">
        <v>1415</v>
      </c>
      <c r="D723" s="9" t="s">
        <v>1439</v>
      </c>
      <c r="E723" s="11" t="n">
        <v>0.078</v>
      </c>
      <c r="F723" s="62" t="n">
        <f aca="false">TrackRecord!$G$12</f>
        <v>0.07847295864263</v>
      </c>
      <c r="G723" s="31" t="n">
        <f aca="false">IFERROR(F723-E723,"n/a")</f>
        <v>0.000472958642630042</v>
      </c>
      <c r="H723" s="42" t="n">
        <v>0.000500001</v>
      </c>
      <c r="I723" s="60" t="str">
        <f aca="false">IFERROR(IF(ABS(F723-E723)&lt;=H723,"PASS","FAIL"),"FAIL")</f>
        <v>PASS</v>
      </c>
    </row>
    <row r="724" customFormat="false" ht="15" hidden="false" customHeight="false" outlineLevel="0" collapsed="false">
      <c r="B724" s="61" t="n">
        <v>716</v>
      </c>
      <c r="C724" s="9" t="s">
        <v>1415</v>
      </c>
      <c r="D724" s="9" t="s">
        <v>1440</v>
      </c>
      <c r="E724" s="11" t="n">
        <v>-0.04</v>
      </c>
      <c r="F724" s="62" t="n">
        <f aca="false">TrackRecord!$I$12</f>
        <v>-0.03952704135737</v>
      </c>
      <c r="G724" s="31" t="n">
        <f aca="false">IFERROR(F724-E724,"n/a")</f>
        <v>0.000472958642630049</v>
      </c>
      <c r="H724" s="42" t="n">
        <v>0.000500001</v>
      </c>
      <c r="I724" s="60" t="str">
        <f aca="false">IFERROR(IF(ABS(F724-E724)&lt;=H724,"PASS","FAIL"),"FAIL")</f>
        <v>PASS</v>
      </c>
    </row>
    <row r="725" customFormat="false" ht="15" hidden="false" customHeight="false" outlineLevel="0" collapsed="false">
      <c r="B725" s="61" t="n">
        <v>717</v>
      </c>
      <c r="C725" s="9" t="s">
        <v>1415</v>
      </c>
      <c r="D725" s="9" t="s">
        <v>1441</v>
      </c>
      <c r="E725" s="66" t="s">
        <v>1419</v>
      </c>
      <c r="F725" s="67" t="str">
        <f aca="false">TrackRecord!$J$12</f>
        <v>yes</v>
      </c>
      <c r="G725" s="9"/>
      <c r="H725" s="9"/>
      <c r="I725" s="60" t="str">
        <f aca="false">IFERROR(IF(EXACT(F725,E725),"PASS","FAIL"),"FAIL")</f>
        <v>PASS</v>
      </c>
    </row>
    <row r="726" customFormat="false" ht="15" hidden="false" customHeight="false" outlineLevel="0" collapsed="false">
      <c r="B726" s="61" t="n">
        <v>718</v>
      </c>
      <c r="C726" s="9" t="s">
        <v>1415</v>
      </c>
      <c r="D726" s="9" t="s">
        <v>1442</v>
      </c>
      <c r="E726" s="11" t="n">
        <v>0.203</v>
      </c>
      <c r="F726" s="62" t="n">
        <f aca="false">TrackRecord!$G$13</f>
        <v>0.202513966480447</v>
      </c>
      <c r="G726" s="31" t="n">
        <f aca="false">IFERROR(F726-E726,"n/a")</f>
        <v>-0.000486033519552842</v>
      </c>
      <c r="H726" s="42" t="n">
        <v>0.000500001</v>
      </c>
      <c r="I726" s="60" t="str">
        <f aca="false">IFERROR(IF(ABS(F726-E726)&lt;=H726,"PASS","FAIL"),"FAIL")</f>
        <v>PASS</v>
      </c>
    </row>
    <row r="727" customFormat="false" ht="15" hidden="false" customHeight="false" outlineLevel="0" collapsed="false">
      <c r="B727" s="61" t="n">
        <v>719</v>
      </c>
      <c r="C727" s="9" t="s">
        <v>1415</v>
      </c>
      <c r="D727" s="9" t="s">
        <v>1443</v>
      </c>
      <c r="E727" s="11" t="n">
        <v>0.085</v>
      </c>
      <c r="F727" s="62" t="n">
        <f aca="false">TrackRecord!$I$13</f>
        <v>0.0845139664804472</v>
      </c>
      <c r="G727" s="31" t="n">
        <f aca="false">IFERROR(F727-E727,"n/a")</f>
        <v>-0.000486033519552828</v>
      </c>
      <c r="H727" s="42" t="n">
        <v>0.000500001</v>
      </c>
      <c r="I727" s="60" t="str">
        <f aca="false">IFERROR(IF(ABS(F727-E727)&lt;=H727,"PASS","FAIL"),"FAIL")</f>
        <v>PASS</v>
      </c>
    </row>
    <row r="728" customFormat="false" ht="15" hidden="false" customHeight="false" outlineLevel="0" collapsed="false">
      <c r="B728" s="61" t="n">
        <v>720</v>
      </c>
      <c r="C728" s="9" t="s">
        <v>1415</v>
      </c>
      <c r="D728" s="9" t="s">
        <v>1444</v>
      </c>
      <c r="E728" s="66" t="s">
        <v>1419</v>
      </c>
      <c r="F728" s="67" t="str">
        <f aca="false">TrackRecord!$J$13</f>
        <v>yes</v>
      </c>
      <c r="G728" s="9"/>
      <c r="H728" s="9"/>
      <c r="I728" s="60" t="str">
        <f aca="false">IFERROR(IF(EXACT(F728,E728),"PASS","FAIL"),"FAIL")</f>
        <v>PASS</v>
      </c>
    </row>
    <row r="729" customFormat="false" ht="15" hidden="false" customHeight="false" outlineLevel="0" collapsed="false">
      <c r="B729" s="61" t="n">
        <v>721</v>
      </c>
      <c r="C729" s="9" t="s">
        <v>1415</v>
      </c>
      <c r="D729" s="9" t="s">
        <v>1445</v>
      </c>
      <c r="E729" s="11" t="n">
        <v>-0.014</v>
      </c>
      <c r="F729" s="62" t="n">
        <f aca="false">TrackRecord!$G$14</f>
        <v>-0.0143149284253578</v>
      </c>
      <c r="G729" s="31" t="n">
        <f aca="false">IFERROR(F729-E729,"n/a")</f>
        <v>-0.000314928425357753</v>
      </c>
      <c r="H729" s="42" t="n">
        <v>0.000500001</v>
      </c>
      <c r="I729" s="60" t="str">
        <f aca="false">IFERROR(IF(ABS(F729-E729)&lt;=H729,"PASS","FAIL"),"FAIL")</f>
        <v>PASS</v>
      </c>
    </row>
    <row r="730" customFormat="false" ht="15" hidden="false" customHeight="false" outlineLevel="0" collapsed="false">
      <c r="B730" s="61" t="n">
        <v>722</v>
      </c>
      <c r="C730" s="9" t="s">
        <v>1415</v>
      </c>
      <c r="D730" s="9" t="s">
        <v>1446</v>
      </c>
      <c r="E730" s="11" t="n">
        <v>0.021</v>
      </c>
      <c r="F730" s="62" t="n">
        <f aca="false">TrackRecord!$I$14</f>
        <v>0.0206850715746423</v>
      </c>
      <c r="G730" s="31" t="n">
        <f aca="false">IFERROR(F730-E730,"n/a")</f>
        <v>-0.000314928425357752</v>
      </c>
      <c r="H730" s="42" t="n">
        <v>0.000500001</v>
      </c>
      <c r="I730" s="60" t="str">
        <f aca="false">IFERROR(IF(ABS(F730-E730)&lt;=H730,"PASS","FAIL"),"FAIL")</f>
        <v>PASS</v>
      </c>
    </row>
    <row r="731" customFormat="false" ht="15" hidden="false" customHeight="false" outlineLevel="0" collapsed="false">
      <c r="B731" s="61" t="n">
        <v>723</v>
      </c>
      <c r="C731" s="9" t="s">
        <v>1415</v>
      </c>
      <c r="D731" s="9" t="s">
        <v>1447</v>
      </c>
      <c r="E731" s="66" t="s">
        <v>1419</v>
      </c>
      <c r="F731" s="67" t="str">
        <f aca="false">TrackRecord!$J$14</f>
        <v>yes</v>
      </c>
      <c r="G731" s="9"/>
      <c r="H731" s="9"/>
      <c r="I731" s="60" t="str">
        <f aca="false">IFERROR(IF(EXACT(F731,E731),"PASS","FAIL"),"FAIL")</f>
        <v>PASS</v>
      </c>
    </row>
    <row r="732" customFormat="false" ht="15" hidden="false" customHeight="false" outlineLevel="0" collapsed="false">
      <c r="B732" s="61" t="n">
        <v>724</v>
      </c>
      <c r="C732" s="9" t="s">
        <v>1415</v>
      </c>
      <c r="D732" s="9" t="s">
        <v>1448</v>
      </c>
      <c r="E732" s="11" t="n">
        <v>-0.138</v>
      </c>
      <c r="F732" s="62" t="n">
        <f aca="false">TrackRecord!$G$15</f>
        <v>-0.138157894736842</v>
      </c>
      <c r="G732" s="31" t="n">
        <f aca="false">IFERROR(F732-E732,"n/a")</f>
        <v>-0.000157894736842024</v>
      </c>
      <c r="H732" s="42" t="n">
        <v>0.000500001</v>
      </c>
      <c r="I732" s="60" t="str">
        <f aca="false">IFERROR(IF(ABS(F732-E732)&lt;=H732,"PASS","FAIL"),"FAIL")</f>
        <v>PASS</v>
      </c>
    </row>
    <row r="733" customFormat="false" ht="15" hidden="false" customHeight="false" outlineLevel="0" collapsed="false">
      <c r="B733" s="61" t="n">
        <v>725</v>
      </c>
      <c r="C733" s="9" t="s">
        <v>1415</v>
      </c>
      <c r="D733" s="9" t="s">
        <v>1449</v>
      </c>
      <c r="E733" s="11" t="n">
        <v>-0.103</v>
      </c>
      <c r="F733" s="62" t="n">
        <f aca="false">TrackRecord!$I$15</f>
        <v>-0.103157894736842</v>
      </c>
      <c r="G733" s="31" t="n">
        <f aca="false">IFERROR(F733-E733,"n/a")</f>
        <v>-0.000157894736842037</v>
      </c>
      <c r="H733" s="42" t="n">
        <v>0.000500001</v>
      </c>
      <c r="I733" s="60" t="str">
        <f aca="false">IFERROR(IF(ABS(F733-E733)&lt;=H733,"PASS","FAIL"),"FAIL")</f>
        <v>PASS</v>
      </c>
    </row>
    <row r="734" customFormat="false" ht="15" hidden="false" customHeight="false" outlineLevel="0" collapsed="false">
      <c r="B734" s="61" t="n">
        <v>726</v>
      </c>
      <c r="C734" s="9" t="s">
        <v>1415</v>
      </c>
      <c r="D734" s="9" t="s">
        <v>1450</v>
      </c>
      <c r="E734" s="66" t="s">
        <v>1423</v>
      </c>
      <c r="F734" s="67" t="str">
        <f aca="false">TrackRecord!$J$15</f>
        <v>no</v>
      </c>
      <c r="G734" s="9"/>
      <c r="H734" s="9"/>
      <c r="I734" s="60" t="str">
        <f aca="false">IFERROR(IF(EXACT(F734,E734),"PASS","FAIL"),"FAIL")</f>
        <v>PASS</v>
      </c>
    </row>
    <row r="735" customFormat="false" ht="15" hidden="false" customHeight="false" outlineLevel="0" collapsed="false">
      <c r="B735" s="61" t="n">
        <v>727</v>
      </c>
      <c r="C735" s="9" t="s">
        <v>1415</v>
      </c>
      <c r="D735" s="9" t="s">
        <v>1451</v>
      </c>
      <c r="E735" s="11" t="n">
        <v>0.014</v>
      </c>
      <c r="F735" s="62" t="n">
        <f aca="false">TrackRecord!$G$16</f>
        <v>0.0136585365853659</v>
      </c>
      <c r="G735" s="31" t="n">
        <f aca="false">IFERROR(F735-E735,"n/a")</f>
        <v>-0.000341463414634135</v>
      </c>
      <c r="H735" s="42" t="n">
        <v>0.000500001</v>
      </c>
      <c r="I735" s="60" t="str">
        <f aca="false">IFERROR(IF(ABS(F735-E735)&lt;=H735,"PASS","FAIL"),"FAIL")</f>
        <v>PASS</v>
      </c>
    </row>
    <row r="736" customFormat="false" ht="15" hidden="false" customHeight="false" outlineLevel="0" collapsed="false">
      <c r="B736" s="61" t="n">
        <v>728</v>
      </c>
      <c r="C736" s="9" t="s">
        <v>1415</v>
      </c>
      <c r="D736" s="9" t="s">
        <v>1452</v>
      </c>
      <c r="E736" s="11" t="n">
        <v>0.049</v>
      </c>
      <c r="F736" s="62" t="n">
        <f aca="false">TrackRecord!$I$16</f>
        <v>0.0486585365853659</v>
      </c>
      <c r="G736" s="31" t="n">
        <f aca="false">IFERROR(F736-E736,"n/a")</f>
        <v>-0.000341463414634133</v>
      </c>
      <c r="H736" s="42" t="n">
        <v>0.000500001</v>
      </c>
      <c r="I736" s="60" t="str">
        <f aca="false">IFERROR(IF(ABS(F736-E736)&lt;=H736,"PASS","FAIL"),"FAIL")</f>
        <v>PASS</v>
      </c>
    </row>
    <row r="737" customFormat="false" ht="15" hidden="false" customHeight="false" outlineLevel="0" collapsed="false">
      <c r="B737" s="61" t="n">
        <v>729</v>
      </c>
      <c r="C737" s="9" t="s">
        <v>1415</v>
      </c>
      <c r="D737" s="9" t="s">
        <v>1453</v>
      </c>
      <c r="E737" s="66" t="s">
        <v>1419</v>
      </c>
      <c r="F737" s="67" t="str">
        <f aca="false">TrackRecord!$J$16</f>
        <v>yes</v>
      </c>
      <c r="G737" s="9"/>
      <c r="H737" s="9"/>
      <c r="I737" s="60" t="str">
        <f aca="false">IFERROR(IF(EXACT(F737,E737),"PASS","FAIL"),"FAIL")</f>
        <v>PASS</v>
      </c>
    </row>
    <row r="738" customFormat="false" ht="15" hidden="false" customHeight="false" outlineLevel="0" collapsed="false">
      <c r="B738" s="61" t="n">
        <v>730</v>
      </c>
      <c r="C738" s="9" t="s">
        <v>1415</v>
      </c>
      <c r="D738" s="9" t="s">
        <v>1454</v>
      </c>
      <c r="E738" s="64" t="n">
        <v>8</v>
      </c>
      <c r="F738" s="34" t="n">
        <f aca="false">TrackRecord!$G$19</f>
        <v>8</v>
      </c>
      <c r="G738" s="31" t="n">
        <f aca="false">IFERROR(F738-E738,"n/a")</f>
        <v>0</v>
      </c>
      <c r="H738" s="42" t="n">
        <v>0.500000001</v>
      </c>
      <c r="I738" s="60" t="str">
        <f aca="false">IFERROR(IF(ABS(F738-E738)&lt;=H738,"PASS","FAIL"),"FAIL")</f>
        <v>PASS</v>
      </c>
    </row>
    <row r="739" customFormat="false" ht="15" hidden="false" customHeight="false" outlineLevel="0" collapsed="false">
      <c r="B739" s="61" t="n">
        <v>731</v>
      </c>
      <c r="C739" s="9" t="s">
        <v>1415</v>
      </c>
      <c r="D739" s="9" t="s">
        <v>578</v>
      </c>
      <c r="E739" s="64" t="n">
        <v>12</v>
      </c>
      <c r="F739" s="34" t="n">
        <f aca="false">TrackRecord!$G$18</f>
        <v>12</v>
      </c>
      <c r="G739" s="31" t="n">
        <f aca="false">IFERROR(F739-E739,"n/a")</f>
        <v>0</v>
      </c>
      <c r="H739" s="42" t="n">
        <v>0.500000001</v>
      </c>
      <c r="I739" s="60" t="str">
        <f aca="false">IFERROR(IF(ABS(F739-E739)&lt;=H739,"PASS","FAIL"),"FAIL")</f>
        <v>PASS</v>
      </c>
    </row>
    <row r="740" customFormat="false" ht="15" hidden="false" customHeight="false" outlineLevel="0" collapsed="false">
      <c r="B740" s="61" t="n">
        <v>732</v>
      </c>
      <c r="C740" s="9" t="s">
        <v>1415</v>
      </c>
      <c r="D740" s="9" t="s">
        <v>580</v>
      </c>
      <c r="E740" s="11" t="n">
        <v>0.667</v>
      </c>
      <c r="F740" s="62" t="n">
        <f aca="false">TrackRecord!$G$20</f>
        <v>0.666666666666667</v>
      </c>
      <c r="G740" s="31" t="n">
        <f aca="false">IFERROR(F740-E740,"n/a")</f>
        <v>-0.000333333333333408</v>
      </c>
      <c r="H740" s="42" t="n">
        <v>0.000500001</v>
      </c>
      <c r="I740" s="60" t="str">
        <f aca="false">IFERROR(IF(ABS(F740-E740)&lt;=H740,"PASS","FAIL"),"FAIL")</f>
        <v>PASS</v>
      </c>
    </row>
    <row r="741" customFormat="false" ht="15" hidden="false" customHeight="false" outlineLevel="0" collapsed="false">
      <c r="B741" s="61" t="n">
        <v>733</v>
      </c>
      <c r="C741" s="9" t="s">
        <v>1415</v>
      </c>
      <c r="D741" s="9" t="s">
        <v>1455</v>
      </c>
      <c r="E741" s="64" t="n">
        <v>4</v>
      </c>
      <c r="F741" s="34" t="n">
        <f aca="false">TrackRecord!$G$22</f>
        <v>4</v>
      </c>
      <c r="G741" s="31" t="n">
        <f aca="false">IFERROR(F741-E741,"n/a")</f>
        <v>0</v>
      </c>
      <c r="H741" s="42" t="n">
        <v>0.500000001</v>
      </c>
      <c r="I741" s="60" t="str">
        <f aca="false">IFERROR(IF(ABS(F741-E741)&lt;=H741,"PASS","FAIL"),"FAIL")</f>
        <v>PASS</v>
      </c>
    </row>
    <row r="742" customFormat="false" ht="15" hidden="false" customHeight="false" outlineLevel="0" collapsed="false">
      <c r="B742" s="61" t="n">
        <v>734</v>
      </c>
      <c r="C742" s="9" t="s">
        <v>1415</v>
      </c>
      <c r="D742" s="9" t="s">
        <v>1456</v>
      </c>
      <c r="E742" s="64" t="n">
        <v>7</v>
      </c>
      <c r="F742" s="34" t="n">
        <f aca="false">TrackRecord!$G$21</f>
        <v>7</v>
      </c>
      <c r="G742" s="31" t="n">
        <f aca="false">IFERROR(F742-E742,"n/a")</f>
        <v>0</v>
      </c>
      <c r="H742" s="42" t="n">
        <v>0.500000001</v>
      </c>
      <c r="I742" s="60" t="str">
        <f aca="false">IFERROR(IF(ABS(F742-E742)&lt;=H742,"PASS","FAIL"),"FAIL")</f>
        <v>PASS</v>
      </c>
    </row>
    <row r="743" customFormat="false" ht="15" hidden="false" customHeight="false" outlineLevel="0" collapsed="false">
      <c r="B743" s="61" t="n">
        <v>735</v>
      </c>
      <c r="C743" s="9" t="s">
        <v>1415</v>
      </c>
      <c r="D743" s="9" t="s">
        <v>1457</v>
      </c>
      <c r="E743" s="64" t="n">
        <v>2</v>
      </c>
      <c r="F743" s="34" t="n">
        <f aca="false">TrackRecord!$G$25</f>
        <v>2</v>
      </c>
      <c r="G743" s="31" t="n">
        <f aca="false">IFERROR(F743-E743,"n/a")</f>
        <v>0</v>
      </c>
      <c r="H743" s="42" t="n">
        <v>0.500000001</v>
      </c>
      <c r="I743" s="60" t="str">
        <f aca="false">IFERROR(IF(ABS(F743-E743)&lt;=H743,"PASS","FAIL"),"FAIL")</f>
        <v>PASS</v>
      </c>
    </row>
    <row r="744" customFormat="false" ht="15" hidden="false" customHeight="false" outlineLevel="0" collapsed="false">
      <c r="B744" s="61" t="n">
        <v>736</v>
      </c>
      <c r="C744" s="9" t="s">
        <v>1415</v>
      </c>
      <c r="D744" s="9" t="s">
        <v>1458</v>
      </c>
      <c r="E744" s="64" t="n">
        <v>2</v>
      </c>
      <c r="F744" s="34" t="n">
        <f aca="false">TrackRecord!$G$28</f>
        <v>2</v>
      </c>
      <c r="G744" s="31" t="n">
        <f aca="false">IFERROR(F744-E744,"n/a")</f>
        <v>0</v>
      </c>
      <c r="H744" s="42" t="n">
        <v>0.500000001</v>
      </c>
      <c r="I744" s="60" t="str">
        <f aca="false">IFERROR(IF(ABS(F744-E744)&lt;=H744,"PASS","FAIL"),"FAIL")</f>
        <v>PASS</v>
      </c>
    </row>
    <row r="745" customFormat="false" ht="15" hidden="false" customHeight="false" outlineLevel="0" collapsed="false">
      <c r="B745" s="61" t="n">
        <v>737</v>
      </c>
      <c r="C745" s="9" t="s">
        <v>1415</v>
      </c>
      <c r="D745" s="9" t="s">
        <v>1459</v>
      </c>
      <c r="E745" s="64" t="n">
        <v>3</v>
      </c>
      <c r="F745" s="34" t="n">
        <f aca="false">TrackRecord!$G$27</f>
        <v>3</v>
      </c>
      <c r="G745" s="31" t="n">
        <f aca="false">IFERROR(F745-E745,"n/a")</f>
        <v>0</v>
      </c>
      <c r="H745" s="42" t="n">
        <v>0.500000001</v>
      </c>
      <c r="I745" s="60" t="str">
        <f aca="false">IFERROR(IF(ABS(F745-E745)&lt;=H745,"PASS","FAIL"),"FAIL")</f>
        <v>PASS</v>
      </c>
    </row>
    <row r="746" customFormat="false" ht="15" hidden="false" customHeight="false" outlineLevel="0" collapsed="false">
      <c r="B746" s="61" t="n">
        <v>738</v>
      </c>
      <c r="C746" s="9" t="s">
        <v>1415</v>
      </c>
      <c r="D746" s="9" t="s">
        <v>1460</v>
      </c>
      <c r="E746" s="11" t="n">
        <v>0.03</v>
      </c>
      <c r="F746" s="62" t="n">
        <f aca="false">TrackRecord!$G$23</f>
        <v>0.0304037642357752</v>
      </c>
      <c r="G746" s="31" t="n">
        <f aca="false">IFERROR(F746-E746,"n/a")</f>
        <v>0.000403764235775206</v>
      </c>
      <c r="H746" s="42" t="n">
        <v>0.000500001</v>
      </c>
      <c r="I746" s="60" t="str">
        <f aca="false">IFERROR(IF(ABS(F746-E746)&lt;=H746,"PASS","FAIL"),"FAIL")</f>
        <v>PASS</v>
      </c>
    </row>
    <row r="747" customFormat="false" ht="15" hidden="false" customHeight="false" outlineLevel="0" collapsed="false">
      <c r="B747" s="61" t="n">
        <v>739</v>
      </c>
      <c r="C747" s="9" t="s">
        <v>1415</v>
      </c>
      <c r="D747" s="9" t="s">
        <v>1461</v>
      </c>
      <c r="E747" s="11" t="n">
        <v>-0.073</v>
      </c>
      <c r="F747" s="62" t="n">
        <f aca="false">TrackRecord!$G$26</f>
        <v>-0.0726061780213423</v>
      </c>
      <c r="G747" s="31" t="n">
        <f aca="false">IFERROR(F747-E747,"n/a")</f>
        <v>0.000393821978657671</v>
      </c>
      <c r="H747" s="42" t="n">
        <v>0.000500001</v>
      </c>
      <c r="I747" s="60" t="str">
        <f aca="false">IFERROR(IF(ABS(F747-E747)&lt;=H747,"PASS","FAIL"),"FAIL")</f>
        <v>PASS</v>
      </c>
    </row>
    <row r="748" customFormat="false" ht="15" hidden="false" customHeight="false" outlineLevel="0" collapsed="false">
      <c r="B748" s="61" t="n">
        <v>740</v>
      </c>
      <c r="C748" s="9" t="s">
        <v>1415</v>
      </c>
      <c r="D748" s="9" t="s">
        <v>1462</v>
      </c>
      <c r="E748" s="11" t="n">
        <v>0.04</v>
      </c>
      <c r="F748" s="62" t="n">
        <f aca="false">TrackRecord!$G$29</f>
        <v>0.0399288880871589</v>
      </c>
      <c r="G748" s="31" t="n">
        <f aca="false">IFERROR(F748-E748,"n/a")</f>
        <v>-7.11119128410584E-005</v>
      </c>
      <c r="H748" s="42" t="n">
        <v>0.000500001</v>
      </c>
      <c r="I748" s="60" t="str">
        <f aca="false">IFERROR(IF(ABS(F748-E748)&lt;=H748,"PASS","FAIL"),"FAIL")</f>
        <v>PASS</v>
      </c>
    </row>
    <row r="749" customFormat="false" ht="15" hidden="false" customHeight="false" outlineLevel="0" collapsed="false">
      <c r="B749" s="61" t="n">
        <v>741</v>
      </c>
      <c r="C749" s="9" t="s">
        <v>1415</v>
      </c>
      <c r="D749" s="9" t="s">
        <v>590</v>
      </c>
      <c r="E749" s="11" t="n">
        <v>0.103</v>
      </c>
      <c r="F749" s="62" t="n">
        <f aca="false">TrackRecord!$G$30</f>
        <v>0.103009942257118</v>
      </c>
      <c r="G749" s="31" t="n">
        <f aca="false">IFERROR(F749-E749,"n/a")</f>
        <v>9.94225711753449E-006</v>
      </c>
      <c r="H749" s="42" t="n">
        <v>0.000500001</v>
      </c>
      <c r="I749" s="60" t="str">
        <f aca="false">IFERROR(IF(ABS(F749-E749)&lt;=H749,"PASS","FAIL"),"FAIL")</f>
        <v>PASS</v>
      </c>
    </row>
    <row r="750" customFormat="false" ht="15" hidden="false" customHeight="false" outlineLevel="0" collapsed="false">
      <c r="B750" s="61" t="n">
        <v>742</v>
      </c>
      <c r="C750" s="9" t="s">
        <v>1415</v>
      </c>
      <c r="D750" s="9" t="s">
        <v>1463</v>
      </c>
      <c r="E750" s="11" t="n">
        <v>0.04</v>
      </c>
      <c r="F750" s="62" t="n">
        <f aca="false">TrackRecord!$G$31</f>
        <v>0.0397820784103457</v>
      </c>
      <c r="G750" s="31" t="n">
        <f aca="false">IFERROR(F750-E750,"n/a")</f>
        <v>-0.000217921589654328</v>
      </c>
      <c r="H750" s="42" t="n">
        <v>0.000500001</v>
      </c>
      <c r="I750" s="60" t="str">
        <f aca="false">IFERROR(IF(ABS(F750-E750)&lt;=H750,"PASS","FAIL"),"FAIL")</f>
        <v>PASS</v>
      </c>
    </row>
    <row r="751" customFormat="false" ht="15" hidden="false" customHeight="false" outlineLevel="0" collapsed="false">
      <c r="B751" s="61" t="n">
        <v>743</v>
      </c>
      <c r="C751" s="9" t="s">
        <v>1464</v>
      </c>
      <c r="D751" s="9" t="s">
        <v>595</v>
      </c>
      <c r="E751" s="11" t="n">
        <v>-0.195</v>
      </c>
      <c r="F751" s="62" t="n">
        <f aca="false">BuySide!$D$6</f>
        <v>-0.195077471484489</v>
      </c>
      <c r="G751" s="31" t="n">
        <f aca="false">IFERROR(F751-E751,"n/a")</f>
        <v>-7.74714844890556E-005</v>
      </c>
      <c r="H751" s="42" t="n">
        <v>0.000500001</v>
      </c>
      <c r="I751" s="60" t="str">
        <f aca="false">IFERROR(IF(ABS(F751-E751)&lt;=H751,"PASS","FAIL"),"FAIL")</f>
        <v>PASS</v>
      </c>
    </row>
    <row r="752" customFormat="false" ht="15" hidden="false" customHeight="false" outlineLevel="0" collapsed="false">
      <c r="B752" s="61" t="n">
        <v>744</v>
      </c>
      <c r="C752" s="9" t="s">
        <v>1464</v>
      </c>
      <c r="D752" s="9" t="s">
        <v>201</v>
      </c>
      <c r="E752" s="45" t="n">
        <v>0.0256</v>
      </c>
      <c r="F752" s="65" t="n">
        <f aca="false">BuySide!$D$9</f>
        <v>0.0256308427721115</v>
      </c>
      <c r="G752" s="31" t="n">
        <f aca="false">IFERROR(F752-E752,"n/a")</f>
        <v>3.08427721114786E-005</v>
      </c>
      <c r="H752" s="42" t="n">
        <v>5.0001E-005</v>
      </c>
      <c r="I752" s="60" t="str">
        <f aca="false">IFERROR(IF(ABS(F752-E752)&lt;=H752,"PASS","FAIL"),"FAIL")</f>
        <v>PASS</v>
      </c>
    </row>
    <row r="753" customFormat="false" ht="15" hidden="false" customHeight="false" outlineLevel="0" collapsed="false">
      <c r="B753" s="61" t="n">
        <v>745</v>
      </c>
      <c r="C753" s="9" t="s">
        <v>1464</v>
      </c>
      <c r="D753" s="9" t="s">
        <v>1465</v>
      </c>
      <c r="E753" s="11" t="n">
        <v>0.155</v>
      </c>
      <c r="F753" s="62" t="n">
        <f aca="false">BuySide!$D$10</f>
        <v>0.154744350780084</v>
      </c>
      <c r="G753" s="31" t="n">
        <f aca="false">IFERROR(F753-E753,"n/a")</f>
        <v>-0.00025564921991636</v>
      </c>
      <c r="H753" s="42" t="n">
        <v>0.000500001</v>
      </c>
      <c r="I753" s="60" t="str">
        <f aca="false">IFERROR(IF(ABS(F753-E753)&lt;=H753,"PASS","FAIL"),"FAIL")</f>
        <v>PASS</v>
      </c>
    </row>
    <row r="754" customFormat="false" ht="15" hidden="false" customHeight="false" outlineLevel="0" collapsed="false">
      <c r="B754" s="61" t="n">
        <v>746</v>
      </c>
      <c r="C754" s="9" t="s">
        <v>1464</v>
      </c>
      <c r="D754" s="9" t="s">
        <v>1466</v>
      </c>
      <c r="E754" s="24" t="n">
        <v>2.39</v>
      </c>
      <c r="F754" s="55" t="n">
        <f aca="false">BuySide!$D$11</f>
        <v>2.39366003549553</v>
      </c>
      <c r="G754" s="31" t="n">
        <f aca="false">IFERROR(F754-E754,"n/a")</f>
        <v>0.00366003549552651</v>
      </c>
      <c r="H754" s="42" t="n">
        <v>0.005000001</v>
      </c>
      <c r="I754" s="60" t="str">
        <f aca="false">IFERROR(IF(ABS(F754-E754)&lt;=H754,"PASS","FAIL"),"FAIL")</f>
        <v>PASS</v>
      </c>
    </row>
    <row r="755" customFormat="false" ht="15" hidden="false" customHeight="false" outlineLevel="0" collapsed="false">
      <c r="B755" s="61" t="n">
        <v>747</v>
      </c>
      <c r="C755" s="9" t="s">
        <v>1467</v>
      </c>
      <c r="D755" s="9" t="s">
        <v>1468</v>
      </c>
      <c r="E755" s="67" t="s">
        <v>1469</v>
      </c>
      <c r="F755" s="67" t="str">
        <f aca="false">IFERROR(IF(ABS(Model!$D$86)&lt;0.000001,"holds","fails"),"fails")</f>
        <v>holds</v>
      </c>
      <c r="G755" s="9"/>
      <c r="H755" s="9"/>
      <c r="I755" s="60" t="str">
        <f aca="false">IFERROR(IF(ABS(Model!$D$86)&lt;0.000001,"PASS","FAIL"),"FAIL")</f>
        <v>PASS</v>
      </c>
    </row>
    <row r="756" customFormat="false" ht="15" hidden="false" customHeight="false" outlineLevel="0" collapsed="false">
      <c r="B756" s="61" t="n">
        <v>748</v>
      </c>
      <c r="C756" s="9" t="s">
        <v>1467</v>
      </c>
      <c r="D756" s="9" t="s">
        <v>1470</v>
      </c>
      <c r="E756" s="67" t="s">
        <v>1469</v>
      </c>
      <c r="F756" s="67" t="str">
        <f aca="false">IFERROR(IF(ABS(Scenarios!$D$16-1)&lt;0.000001,"holds","fails"),"fails")</f>
        <v>holds</v>
      </c>
      <c r="G756" s="9"/>
      <c r="H756" s="9"/>
      <c r="I756" s="60" t="str">
        <f aca="false">IFERROR(IF(ABS(Scenarios!$D$16-1)&lt;0.000001,"PASS","FAIL"),"FAIL")</f>
        <v>PASS</v>
      </c>
    </row>
    <row r="757" customFormat="false" ht="15" hidden="false" customHeight="false" outlineLevel="0" collapsed="false">
      <c r="B757" s="61" t="n">
        <v>749</v>
      </c>
      <c r="C757" s="9" t="s">
        <v>1467</v>
      </c>
      <c r="D757" s="9" t="s">
        <v>1471</v>
      </c>
      <c r="E757" s="67" t="s">
        <v>1469</v>
      </c>
      <c r="F757" s="67" t="str">
        <f aca="false">IFERROR(IF(ABS(Consensus!$C$74)&lt;0.000001,"holds","fails"),"fails")</f>
        <v>holds</v>
      </c>
      <c r="G757" s="9"/>
      <c r="H757" s="9"/>
      <c r="I757" s="60" t="str">
        <f aca="false">IFERROR(IF(ABS(Consensus!$C$74)&lt;0.000001,"PASS","FAIL"),"FAIL")</f>
        <v>PASS</v>
      </c>
    </row>
    <row r="758" customFormat="false" ht="15" hidden="false" customHeight="false" outlineLevel="0" collapsed="false">
      <c r="B758" s="61" t="n">
        <v>750</v>
      </c>
      <c r="C758" s="9" t="s">
        <v>1467</v>
      </c>
      <c r="D758" s="9" t="s">
        <v>1472</v>
      </c>
      <c r="E758" s="67" t="s">
        <v>1469</v>
      </c>
      <c r="F758" s="67" t="str">
        <f aca="false">IFERROR(IF(ABS(Valuation!$D$90-Inputs!$D$86)&lt;=0.01,"holds","fails"),"fails")</f>
        <v>holds</v>
      </c>
      <c r="G758" s="9"/>
      <c r="H758" s="9"/>
      <c r="I758" s="60" t="str">
        <f aca="false">IFERROR(IF(ABS(Valuation!$D$90-Inputs!$D$86)&lt;=0.01,"PASS","FAIL"),"FAIL")</f>
        <v>PASS</v>
      </c>
    </row>
    <row r="759" customFormat="false" ht="15" hidden="false" customHeight="false" outlineLevel="0" collapsed="false">
      <c r="B759" s="61" t="n">
        <v>751</v>
      </c>
      <c r="C759" s="9" t="s">
        <v>1467</v>
      </c>
      <c r="D759" s="9" t="s">
        <v>1473</v>
      </c>
      <c r="E759" s="67" t="s">
        <v>1469</v>
      </c>
      <c r="F759" s="67" t="str">
        <f aca="false">IFERROR(IF(ABS(Valuation!$D$92-Inputs!$D$86)&lt;=0.01,"holds","fails"),"fails")</f>
        <v>holds</v>
      </c>
      <c r="G759" s="9"/>
      <c r="H759" s="9"/>
      <c r="I759" s="60" t="str">
        <f aca="false">IFERROR(IF(ABS(Valuation!$D$92-Inputs!$D$86)&lt;=0.01,"PASS","FAIL"),"FAIL")</f>
        <v>PASS</v>
      </c>
    </row>
    <row r="760" customFormat="false" ht="15" hidden="false" customHeight="false" outlineLevel="0" collapsed="false">
      <c r="B760" s="61" t="n">
        <v>752</v>
      </c>
      <c r="C760" s="9" t="s">
        <v>1467</v>
      </c>
      <c r="D760" s="9" t="s">
        <v>1474</v>
      </c>
      <c r="E760" s="67" t="s">
        <v>1469</v>
      </c>
      <c r="F760" s="67" t="str">
        <f aca="false">IFERROR(IF(ABS(Rating!$D$13-Inputs!$D$93)&lt;0.000001,"holds","fails"),"fails")</f>
        <v>holds</v>
      </c>
      <c r="G760" s="9"/>
      <c r="H760" s="9"/>
      <c r="I760" s="60" t="str">
        <f aca="false">IFERROR(IF(ABS(Rating!$D$13-Inputs!$D$93)&lt;0.000001,"PASS","FAIL"),"FAIL")</f>
        <v>PASS</v>
      </c>
    </row>
    <row r="761" customFormat="false" ht="15" hidden="false" customHeight="false" outlineLevel="0" collapsed="false">
      <c r="B761" s="61" t="n">
        <v>753</v>
      </c>
      <c r="C761" s="9" t="s">
        <v>1467</v>
      </c>
      <c r="D761" s="9" t="s">
        <v>1475</v>
      </c>
      <c r="E761" s="67" t="s">
        <v>1469</v>
      </c>
      <c r="F761" s="67" t="str">
        <f aca="false">IFERROR(IF(ABS(Revision!$F$78-Model!$F$48)&lt;0.000001,"holds","fails"),"fails")</f>
        <v>holds</v>
      </c>
      <c r="G761" s="9"/>
      <c r="H761" s="9"/>
      <c r="I761" s="60" t="str">
        <f aca="false">IFERROR(IF(ABS(Revision!$F$78-Model!$F$48)&lt;0.000001,"PASS","FAIL"),"FAIL")</f>
        <v>PASS</v>
      </c>
    </row>
    <row r="762" customFormat="false" ht="15" hidden="false" customHeight="false" outlineLevel="0" collapsed="false">
      <c r="B762" s="61" t="n">
        <v>754</v>
      </c>
      <c r="C762" s="9" t="s">
        <v>1467</v>
      </c>
      <c r="D762" s="9" t="s">
        <v>1476</v>
      </c>
      <c r="E762" s="67" t="s">
        <v>1469</v>
      </c>
      <c r="F762" s="67" t="str">
        <f aca="false">IFERROR(IF(ABS(Scenarios!$E$8-Valuation!$D$31)&lt;0.000001,"holds","fails"),"fails")</f>
        <v>holds</v>
      </c>
      <c r="G762" s="9"/>
      <c r="H762" s="9"/>
      <c r="I762" s="60" t="str">
        <f aca="false">IFERROR(IF(ABS(Scenarios!$E$8-Valuation!$D$31)&lt;0.000001,"PASS","FAIL"),"FAIL")</f>
        <v>PASS</v>
      </c>
    </row>
    <row r="763" customFormat="false" ht="15" hidden="false" customHeight="false" outlineLevel="0" collapsed="false">
      <c r="B763" s="61" t="n">
        <v>755</v>
      </c>
      <c r="C763" s="9" t="s">
        <v>1477</v>
      </c>
      <c r="D763" s="9" t="s">
        <v>1478</v>
      </c>
      <c r="E763" s="68" t="n">
        <v>1.0071</v>
      </c>
      <c r="F763" s="69" t="n">
        <f aca="false">Text_Figures!$D$6</f>
        <v>1.00708103855232</v>
      </c>
      <c r="G763" s="31" t="n">
        <f aca="false">IFERROR(F763-E763,"n/a")</f>
        <v>-1.89614476791E-005</v>
      </c>
      <c r="H763" s="42" t="n">
        <v>5.0001E-005</v>
      </c>
      <c r="I763" s="60" t="str">
        <f aca="false">IFERROR(IF(ABS(F763-E763)&lt;=H763,"PASS","FAIL"),"FAIL")</f>
        <v>PASS</v>
      </c>
    </row>
    <row r="764" customFormat="false" ht="15" hidden="false" customHeight="false" outlineLevel="0" collapsed="false">
      <c r="B764" s="61" t="n">
        <v>756</v>
      </c>
      <c r="C764" s="9" t="s">
        <v>1477</v>
      </c>
      <c r="D764" s="9" t="s">
        <v>1479</v>
      </c>
      <c r="E764" s="63" t="n">
        <v>1.025</v>
      </c>
      <c r="F764" s="58" t="n">
        <f aca="false">Text_Figures!$D$7</f>
        <v>1.025</v>
      </c>
      <c r="G764" s="31" t="n">
        <f aca="false">IFERROR(F764-E764,"n/a")</f>
        <v>0</v>
      </c>
      <c r="H764" s="42" t="n">
        <v>0.000500001</v>
      </c>
      <c r="I764" s="60" t="str">
        <f aca="false">IFERROR(IF(ABS(F764-E764)&lt;=H764,"PASS","FAIL"),"FAIL")</f>
        <v>PASS</v>
      </c>
    </row>
    <row r="765" customFormat="false" ht="15" hidden="false" customHeight="false" outlineLevel="0" collapsed="false">
      <c r="B765" s="61" t="n">
        <v>757</v>
      </c>
      <c r="C765" s="9" t="s">
        <v>1477</v>
      </c>
      <c r="D765" s="9" t="s">
        <v>1480</v>
      </c>
      <c r="E765" s="63" t="n">
        <v>1.032</v>
      </c>
      <c r="F765" s="58" t="n">
        <f aca="false">Text_Figures!$D$8</f>
        <v>1.03225806451613</v>
      </c>
      <c r="G765" s="31" t="n">
        <f aca="false">IFERROR(F765-E765,"n/a")</f>
        <v>0.000258064516128975</v>
      </c>
      <c r="H765" s="42" t="n">
        <v>0.000500001</v>
      </c>
      <c r="I765" s="60" t="str">
        <f aca="false">IFERROR(IF(ABS(F765-E765)&lt;=H765,"PASS","FAIL"),"FAIL")</f>
        <v>PASS</v>
      </c>
    </row>
    <row r="766" customFormat="false" ht="15" hidden="false" customHeight="false" outlineLevel="0" collapsed="false">
      <c r="B766" s="61" t="n">
        <v>758</v>
      </c>
      <c r="C766" s="9" t="s">
        <v>1477</v>
      </c>
      <c r="D766" s="9" t="s">
        <v>1481</v>
      </c>
      <c r="E766" s="12" t="n">
        <v>1815</v>
      </c>
      <c r="F766" s="56" t="n">
        <f aca="false">Text_Figures!$D$9</f>
        <v>1815</v>
      </c>
      <c r="G766" s="31" t="n">
        <f aca="false">IFERROR(F766-E766,"n/a")</f>
        <v>0</v>
      </c>
      <c r="H766" s="42" t="n">
        <v>0.050000001</v>
      </c>
      <c r="I766" s="60" t="str">
        <f aca="false">IFERROR(IF(ABS(F766-E766)&lt;=H766,"PASS","FAIL"),"FAIL")</f>
        <v>PASS</v>
      </c>
    </row>
    <row r="767" customFormat="false" ht="15" hidden="false" customHeight="false" outlineLevel="0" collapsed="false">
      <c r="B767" s="61" t="n">
        <v>759</v>
      </c>
      <c r="C767" s="9" t="s">
        <v>1477</v>
      </c>
      <c r="D767" s="9" t="s">
        <v>1482</v>
      </c>
      <c r="E767" s="68" t="n">
        <v>1.0129</v>
      </c>
      <c r="F767" s="69" t="n">
        <f aca="false">Text_Figures!$D$10</f>
        <v>1.01288274831964</v>
      </c>
      <c r="G767" s="31" t="n">
        <f aca="false">IFERROR(F767-E767,"n/a")</f>
        <v>-1.72516803582656E-005</v>
      </c>
      <c r="H767" s="42" t="n">
        <v>5.0001E-005</v>
      </c>
      <c r="I767" s="60" t="str">
        <f aca="false">IFERROR(IF(ABS(F767-E767)&lt;=H767,"PASS","FAIL"),"FAIL")</f>
        <v>PASS</v>
      </c>
    </row>
    <row r="768" customFormat="false" ht="15" hidden="false" customHeight="false" outlineLevel="0" collapsed="false">
      <c r="B768" s="61" t="n">
        <v>760</v>
      </c>
      <c r="C768" s="9" t="s">
        <v>1477</v>
      </c>
      <c r="D768" s="9" t="s">
        <v>1483</v>
      </c>
      <c r="E768" s="63" t="n">
        <v>1.045</v>
      </c>
      <c r="F768" s="58" t="n">
        <f aca="false">Text_Figures!$D$11</f>
        <v>1.045</v>
      </c>
      <c r="G768" s="31" t="n">
        <f aca="false">IFERROR(F768-E768,"n/a")</f>
        <v>0</v>
      </c>
      <c r="H768" s="42" t="n">
        <v>0.000500001</v>
      </c>
      <c r="I768" s="60" t="str">
        <f aca="false">IFERROR(IF(ABS(F768-E768)&lt;=H768,"PASS","FAIL"),"FAIL")</f>
        <v>PASS</v>
      </c>
    </row>
    <row r="769" customFormat="false" ht="15" hidden="false" customHeight="false" outlineLevel="0" collapsed="false">
      <c r="B769" s="61" t="n">
        <v>761</v>
      </c>
      <c r="C769" s="9" t="s">
        <v>1477</v>
      </c>
      <c r="D769" s="9" t="s">
        <v>1484</v>
      </c>
      <c r="E769" s="68" t="n">
        <v>1.0104</v>
      </c>
      <c r="F769" s="69" t="n">
        <f aca="false">Text_Figures!$D$12</f>
        <v>1.01037087411653</v>
      </c>
      <c r="G769" s="31" t="n">
        <f aca="false">IFERROR(F769-E769,"n/a")</f>
        <v>-2.91258834672625E-005</v>
      </c>
      <c r="H769" s="42" t="n">
        <v>5.0001E-005</v>
      </c>
      <c r="I769" s="60" t="str">
        <f aca="false">IFERROR(IF(ABS(F769-E769)&lt;=H769,"PASS","FAIL"),"FAIL")</f>
        <v>PASS</v>
      </c>
    </row>
    <row r="770" customFormat="false" ht="15" hidden="false" customHeight="false" outlineLevel="0" collapsed="false">
      <c r="B770" s="61" t="n">
        <v>762</v>
      </c>
      <c r="C770" s="9" t="s">
        <v>1477</v>
      </c>
      <c r="D770" s="9" t="s">
        <v>1485</v>
      </c>
      <c r="E770" s="11" t="n">
        <v>0.055</v>
      </c>
      <c r="F770" s="62" t="n">
        <f aca="false">Text_Figures!$D$13</f>
        <v>0.05545</v>
      </c>
      <c r="G770" s="31" t="n">
        <f aca="false">IFERROR(F770-E770,"n/a")</f>
        <v>0.000449999999999999</v>
      </c>
      <c r="H770" s="42" t="n">
        <v>0.000500001</v>
      </c>
      <c r="I770" s="60" t="str">
        <f aca="false">IFERROR(IF(ABS(F770-E770)&lt;=H770,"PASS","FAIL"),"FAIL")</f>
        <v>PASS</v>
      </c>
    </row>
    <row r="771" customFormat="false" ht="15" hidden="false" customHeight="false" outlineLevel="0" collapsed="false">
      <c r="B771" s="61" t="n">
        <v>763</v>
      </c>
      <c r="C771" s="9" t="s">
        <v>1477</v>
      </c>
      <c r="D771" s="9" t="s">
        <v>1486</v>
      </c>
      <c r="E771" s="11" t="n">
        <v>0.219</v>
      </c>
      <c r="F771" s="62" t="n">
        <f aca="false">Text_Figures!$D$14</f>
        <v>0.219432169885803</v>
      </c>
      <c r="G771" s="31" t="n">
        <f aca="false">IFERROR(F771-E771,"n/a")</f>
        <v>0.000432169885802608</v>
      </c>
      <c r="H771" s="42" t="n">
        <v>0.000500001</v>
      </c>
      <c r="I771" s="60" t="str">
        <f aca="false">IFERROR(IF(ABS(F771-E771)&lt;=H771,"PASS","FAIL"),"FAIL")</f>
        <v>PASS</v>
      </c>
    </row>
    <row r="772" customFormat="false" ht="15" hidden="false" customHeight="false" outlineLevel="0" collapsed="false">
      <c r="B772" s="61" t="n">
        <v>764</v>
      </c>
      <c r="C772" s="9" t="s">
        <v>1477</v>
      </c>
      <c r="D772" s="9" t="s">
        <v>1487</v>
      </c>
      <c r="E772" s="11" t="n">
        <v>0.45</v>
      </c>
      <c r="F772" s="62" t="n">
        <f aca="false">Text_Figures!$D$15</f>
        <v>0.449934792059122</v>
      </c>
      <c r="G772" s="31" t="n">
        <f aca="false">IFERROR(F772-E772,"n/a")</f>
        <v>-6.52079408781092E-005</v>
      </c>
      <c r="H772" s="42" t="n">
        <v>0.000500001</v>
      </c>
      <c r="I772" s="60" t="str">
        <f aca="false">IFERROR(IF(ABS(F772-E772)&lt;=H772,"PASS","FAIL"),"FAIL")</f>
        <v>PASS</v>
      </c>
    </row>
    <row r="773" customFormat="false" ht="15" hidden="false" customHeight="false" outlineLevel="0" collapsed="false">
      <c r="B773" s="61" t="n">
        <v>765</v>
      </c>
      <c r="C773" s="9" t="s">
        <v>1477</v>
      </c>
      <c r="D773" s="9" t="s">
        <v>1488</v>
      </c>
      <c r="E773" s="11" t="n">
        <v>0.272</v>
      </c>
      <c r="F773" s="62" t="n">
        <f aca="false">Text_Figures!$D$16</f>
        <v>0.271794871794872</v>
      </c>
      <c r="G773" s="31" t="n">
        <f aca="false">IFERROR(F773-E773,"n/a")</f>
        <v>-0.000205128205128247</v>
      </c>
      <c r="H773" s="42" t="n">
        <v>0.000500001</v>
      </c>
      <c r="I773" s="60" t="str">
        <f aca="false">IFERROR(IF(ABS(F773-E773)&lt;=H773,"PASS","FAIL"),"FAIL")</f>
        <v>PASS</v>
      </c>
    </row>
    <row r="774" customFormat="false" ht="15" hidden="false" customHeight="false" outlineLevel="0" collapsed="false">
      <c r="B774" s="61" t="n">
        <v>766</v>
      </c>
      <c r="C774" s="9" t="s">
        <v>1477</v>
      </c>
      <c r="D774" s="9" t="s">
        <v>1489</v>
      </c>
      <c r="E774" s="12" t="n">
        <v>19.8</v>
      </c>
      <c r="F774" s="56" t="n">
        <f aca="false">Text_Figures!$D$17</f>
        <v>19.76</v>
      </c>
      <c r="G774" s="31" t="n">
        <f aca="false">IFERROR(F774-E774,"n/a")</f>
        <v>-0.0400000000000098</v>
      </c>
      <c r="H774" s="42" t="n">
        <v>0.050000001</v>
      </c>
      <c r="I774" s="60" t="str">
        <f aca="false">IFERROR(IF(ABS(F774-E774)&lt;=H774,"PASS","FAIL"),"FAIL")</f>
        <v>PASS</v>
      </c>
    </row>
    <row r="775" customFormat="false" ht="15" hidden="false" customHeight="false" outlineLevel="0" collapsed="false">
      <c r="B775" s="61" t="n">
        <v>767</v>
      </c>
      <c r="C775" s="9" t="s">
        <v>1477</v>
      </c>
      <c r="D775" s="9" t="s">
        <v>1490</v>
      </c>
      <c r="E775" s="63" t="n">
        <v>1.025</v>
      </c>
      <c r="F775" s="58" t="n">
        <f aca="false">Text_Figures!$D$18</f>
        <v>1.025</v>
      </c>
      <c r="G775" s="31" t="n">
        <f aca="false">IFERROR(F775-E775,"n/a")</f>
        <v>0</v>
      </c>
      <c r="H775" s="42" t="n">
        <v>0.000500001</v>
      </c>
      <c r="I775" s="60" t="str">
        <f aca="false">IFERROR(IF(ABS(F775-E775)&lt;=H775,"PASS","FAIL"),"FAIL")</f>
        <v>PASS</v>
      </c>
    </row>
    <row r="776" customFormat="false" ht="15" hidden="false" customHeight="false" outlineLevel="0" collapsed="false">
      <c r="B776" s="61" t="n">
        <v>768</v>
      </c>
      <c r="C776" s="9" t="s">
        <v>1477</v>
      </c>
      <c r="D776" s="9" t="s">
        <v>1491</v>
      </c>
      <c r="E776" s="70" t="n">
        <v>1.03525</v>
      </c>
      <c r="F776" s="71" t="n">
        <f aca="false">Text_Figures!$D$19</f>
        <v>1.03525</v>
      </c>
      <c r="G776" s="31" t="n">
        <f aca="false">IFERROR(F776-E776,"n/a")</f>
        <v>0</v>
      </c>
      <c r="H776" s="42" t="n">
        <v>5.001E-006</v>
      </c>
      <c r="I776" s="60" t="str">
        <f aca="false">IFERROR(IF(ABS(F776-E776)&lt;=H776,"PASS","FAIL"),"FAIL")</f>
        <v>PASS</v>
      </c>
    </row>
    <row r="777" customFormat="false" ht="15" hidden="false" customHeight="false" outlineLevel="0" collapsed="false">
      <c r="B777" s="61" t="n">
        <v>769</v>
      </c>
      <c r="C777" s="9" t="s">
        <v>1477</v>
      </c>
      <c r="D777" s="9" t="s">
        <v>1492</v>
      </c>
      <c r="E777" s="63" t="n">
        <v>1.025</v>
      </c>
      <c r="F777" s="58" t="n">
        <f aca="false">Text_Figures!$D$20</f>
        <v>1.025</v>
      </c>
      <c r="G777" s="31" t="n">
        <f aca="false">IFERROR(F777-E777,"n/a")</f>
        <v>0</v>
      </c>
      <c r="H777" s="42" t="n">
        <v>0.000500001</v>
      </c>
      <c r="I777" s="60" t="str">
        <f aca="false">IFERROR(IF(ABS(F777-E777)&lt;=H777,"PASS","FAIL"),"FAIL")</f>
        <v>PASS</v>
      </c>
    </row>
    <row r="778" customFormat="false" ht="15" hidden="false" customHeight="false" outlineLevel="0" collapsed="false">
      <c r="B778" s="61" t="n">
        <v>770</v>
      </c>
      <c r="C778" s="9" t="s">
        <v>1477</v>
      </c>
      <c r="D778" s="9" t="s">
        <v>1493</v>
      </c>
      <c r="E778" s="68" t="n">
        <v>0.0015</v>
      </c>
      <c r="F778" s="69" t="n">
        <f aca="false">Text_Figures!$D$21</f>
        <v>0.00150000000000003</v>
      </c>
      <c r="G778" s="31" t="n">
        <f aca="false">IFERROR(F778-E778,"n/a")</f>
        <v>2.90566182226115E-017</v>
      </c>
      <c r="H778" s="42" t="n">
        <v>5.0001E-005</v>
      </c>
      <c r="I778" s="60" t="str">
        <f aca="false">IFERROR(IF(ABS(F778-E778)&lt;=H778,"PASS","FAIL"),"FAIL")</f>
        <v>PASS</v>
      </c>
    </row>
    <row r="779" customFormat="false" ht="15" hidden="false" customHeight="false" outlineLevel="0" collapsed="false">
      <c r="B779" s="61" t="n">
        <v>771</v>
      </c>
      <c r="C779" s="9" t="s">
        <v>1477</v>
      </c>
      <c r="D779" s="9" t="s">
        <v>1494</v>
      </c>
      <c r="E779" s="12" t="n">
        <v>126.2</v>
      </c>
      <c r="F779" s="56" t="n">
        <f aca="false">Text_Figures!$D$22</f>
        <v>126.168</v>
      </c>
      <c r="G779" s="31" t="n">
        <f aca="false">IFERROR(F779-E779,"n/a")</f>
        <v>-0.0319999999998828</v>
      </c>
      <c r="H779" s="42" t="n">
        <v>0.050000001</v>
      </c>
      <c r="I779" s="60" t="str">
        <f aca="false">IFERROR(IF(ABS(F779-E779)&lt;=H779,"PASS","FAIL"),"FAIL")</f>
        <v>PASS</v>
      </c>
    </row>
    <row r="780" customFormat="false" ht="15" hidden="false" customHeight="false" outlineLevel="0" collapsed="false">
      <c r="B780" s="61" t="n">
        <v>772</v>
      </c>
      <c r="C780" s="9" t="s">
        <v>1477</v>
      </c>
      <c r="D780" s="9" t="s">
        <v>1495</v>
      </c>
      <c r="E780" s="12" t="n">
        <v>39.5</v>
      </c>
      <c r="F780" s="56" t="n">
        <f aca="false">Text_Figures!$D$23</f>
        <v>39.48</v>
      </c>
      <c r="G780" s="31" t="n">
        <f aca="false">IFERROR(F780-E780,"n/a")</f>
        <v>-0.0199999999999818</v>
      </c>
      <c r="H780" s="42" t="n">
        <v>0.050000001</v>
      </c>
      <c r="I780" s="60" t="str">
        <f aca="false">IFERROR(IF(ABS(F780-E780)&lt;=H780,"PASS","FAIL"),"FAIL")</f>
        <v>PASS</v>
      </c>
    </row>
    <row r="781" customFormat="false" ht="15" hidden="false" customHeight="false" outlineLevel="0" collapsed="false">
      <c r="B781" s="61" t="n">
        <v>773</v>
      </c>
      <c r="C781" s="9" t="s">
        <v>1477</v>
      </c>
      <c r="D781" s="9" t="s">
        <v>1496</v>
      </c>
      <c r="E781" s="12" t="n">
        <v>55.4</v>
      </c>
      <c r="F781" s="56" t="n">
        <f aca="false">Text_Figures!$D$24</f>
        <v>55.36</v>
      </c>
      <c r="G781" s="31" t="n">
        <f aca="false">IFERROR(F781-E781,"n/a")</f>
        <v>-0.0399999999999849</v>
      </c>
      <c r="H781" s="42" t="n">
        <v>0.050000001</v>
      </c>
      <c r="I781" s="60" t="str">
        <f aca="false">IFERROR(IF(ABS(F781-E781)&lt;=H781,"PASS","FAIL"),"FAIL")</f>
        <v>PASS</v>
      </c>
    </row>
    <row r="782" customFormat="false" ht="15" hidden="false" customHeight="false" outlineLevel="0" collapsed="false">
      <c r="B782" s="61" t="n">
        <v>774</v>
      </c>
      <c r="C782" s="9" t="s">
        <v>1477</v>
      </c>
      <c r="D782" s="9" t="s">
        <v>1497</v>
      </c>
      <c r="E782" s="12" t="n">
        <v>172.3</v>
      </c>
      <c r="F782" s="56" t="n">
        <f aca="false">Text_Figures!$D$25</f>
        <v>172.34889748272</v>
      </c>
      <c r="G782" s="31" t="n">
        <f aca="false">IFERROR(F782-E782,"n/a")</f>
        <v>0.0488974827199797</v>
      </c>
      <c r="H782" s="42" t="n">
        <v>0.050000001</v>
      </c>
      <c r="I782" s="60" t="str">
        <f aca="false">IFERROR(IF(ABS(F782-E782)&lt;=H782,"PASS","FAIL"),"FAIL")</f>
        <v>PASS</v>
      </c>
    </row>
    <row r="783" customFormat="false" ht="15" hidden="false" customHeight="false" outlineLevel="0" collapsed="false">
      <c r="B783" s="61" t="n">
        <v>775</v>
      </c>
      <c r="C783" s="9" t="s">
        <v>1477</v>
      </c>
      <c r="D783" s="9" t="s">
        <v>1498</v>
      </c>
      <c r="E783" s="12" t="n">
        <v>467.4</v>
      </c>
      <c r="F783" s="56" t="n">
        <f aca="false">Text_Figures!$D$26</f>
        <v>467.357640984067</v>
      </c>
      <c r="G783" s="31" t="n">
        <f aca="false">IFERROR(F783-E783,"n/a")</f>
        <v>-0.0423590159327887</v>
      </c>
      <c r="H783" s="42" t="n">
        <v>0.050000001</v>
      </c>
      <c r="I783" s="60" t="str">
        <f aca="false">IFERROR(IF(ABS(F783-E783)&lt;=H783,"PASS","FAIL"),"FAIL")</f>
        <v>PASS</v>
      </c>
    </row>
    <row r="784" customFormat="false" ht="15" hidden="false" customHeight="false" outlineLevel="0" collapsed="false">
      <c r="B784" s="61" t="n">
        <v>776</v>
      </c>
      <c r="C784" s="9" t="s">
        <v>1477</v>
      </c>
      <c r="D784" s="9" t="s">
        <v>1499</v>
      </c>
      <c r="E784" s="11" t="n">
        <v>0.193</v>
      </c>
      <c r="F784" s="62" t="n">
        <f aca="false">Text_Figures!$D$27</f>
        <v>0.192859829920591</v>
      </c>
      <c r="G784" s="31" t="n">
        <f aca="false">IFERROR(F784-E784,"n/a")</f>
        <v>-0.000140170079409419</v>
      </c>
      <c r="H784" s="42" t="n">
        <v>0.000500001</v>
      </c>
      <c r="I784" s="60" t="str">
        <f aca="false">IFERROR(IF(ABS(F784-E784)&lt;=H784,"PASS","FAIL"),"FAIL")</f>
        <v>PASS</v>
      </c>
    </row>
    <row r="785" customFormat="false" ht="15" hidden="false" customHeight="false" outlineLevel="0" collapsed="false">
      <c r="B785" s="61" t="n">
        <v>777</v>
      </c>
      <c r="C785" s="9" t="s">
        <v>1477</v>
      </c>
      <c r="D785" s="9" t="s">
        <v>1500</v>
      </c>
      <c r="E785" s="24" t="n">
        <v>0.77</v>
      </c>
      <c r="F785" s="55" t="n">
        <f aca="false">Text_Figures!$D$28</f>
        <v>0.77</v>
      </c>
      <c r="G785" s="31" t="n">
        <f aca="false">IFERROR(F785-E785,"n/a")</f>
        <v>0</v>
      </c>
      <c r="H785" s="42" t="n">
        <v>0.005000001</v>
      </c>
      <c r="I785" s="60" t="str">
        <f aca="false">IFERROR(IF(ABS(F785-E785)&lt;=H785,"PASS","FAIL"),"FAIL")</f>
        <v>PASS</v>
      </c>
    </row>
    <row r="786" customFormat="false" ht="15" hidden="false" customHeight="false" outlineLevel="0" collapsed="false">
      <c r="B786" s="61" t="n">
        <v>778</v>
      </c>
      <c r="C786" s="9" t="s">
        <v>1477</v>
      </c>
      <c r="D786" s="9" t="s">
        <v>1501</v>
      </c>
      <c r="E786" s="11" t="n">
        <v>0.323</v>
      </c>
      <c r="F786" s="62" t="n">
        <f aca="false">Text_Figures!$D$29</f>
        <v>0.32331844504203</v>
      </c>
      <c r="G786" s="31" t="n">
        <f aca="false">IFERROR(F786-E786,"n/a")</f>
        <v>0.000318445042030324</v>
      </c>
      <c r="H786" s="42" t="n">
        <v>0.000500001</v>
      </c>
      <c r="I786" s="60" t="str">
        <f aca="false">IFERROR(IF(ABS(F786-E786)&lt;=H786,"PASS","FAIL"),"FAIL")</f>
        <v>PASS</v>
      </c>
    </row>
    <row r="787" customFormat="false" ht="15" hidden="false" customHeight="false" outlineLevel="0" collapsed="false">
      <c r="B787" s="61" t="n">
        <v>779</v>
      </c>
      <c r="C787" s="9" t="s">
        <v>1477</v>
      </c>
      <c r="D787" s="9" t="s">
        <v>1502</v>
      </c>
      <c r="E787" s="63" t="n">
        <v>1.41</v>
      </c>
      <c r="F787" s="58" t="n">
        <f aca="false">Text_Figures!$D$30</f>
        <v>1.41033468581616</v>
      </c>
      <c r="G787" s="31" t="n">
        <f aca="false">IFERROR(F787-E787,"n/a")</f>
        <v>0.000334685816156144</v>
      </c>
      <c r="H787" s="42" t="n">
        <v>0.000500001</v>
      </c>
      <c r="I787" s="60" t="str">
        <f aca="false">IFERROR(IF(ABS(F787-E787)&lt;=H787,"PASS","FAIL"),"FAIL")</f>
        <v>PASS</v>
      </c>
    </row>
    <row r="788" customFormat="false" ht="15" hidden="false" customHeight="false" outlineLevel="0" collapsed="false">
      <c r="B788" s="61" t="n">
        <v>780</v>
      </c>
      <c r="C788" s="9" t="s">
        <v>1477</v>
      </c>
      <c r="D788" s="9" t="s">
        <v>1503</v>
      </c>
      <c r="E788" s="63" t="n">
        <v>0.968</v>
      </c>
      <c r="F788" s="58" t="n">
        <f aca="false">Text_Figures!$D$31</f>
        <v>0.967625899280576</v>
      </c>
      <c r="G788" s="31" t="n">
        <f aca="false">IFERROR(F788-E788,"n/a")</f>
        <v>-0.000374100719424453</v>
      </c>
      <c r="H788" s="42" t="n">
        <v>0.000500001</v>
      </c>
      <c r="I788" s="60" t="str">
        <f aca="false">IFERROR(IF(ABS(F788-E788)&lt;=H788,"PASS","FAIL"),"FAIL")</f>
        <v>PASS</v>
      </c>
    </row>
    <row r="789" customFormat="false" ht="15" hidden="false" customHeight="false" outlineLevel="0" collapsed="false">
      <c r="B789" s="61" t="n">
        <v>781</v>
      </c>
      <c r="C789" s="9" t="s">
        <v>1477</v>
      </c>
      <c r="D789" s="9" t="s">
        <v>1504</v>
      </c>
      <c r="E789" s="63" t="n">
        <v>1.457</v>
      </c>
      <c r="F789" s="58" t="n">
        <f aca="false">Text_Figures!$D$32</f>
        <v>1.45661157024793</v>
      </c>
      <c r="G789" s="31" t="n">
        <f aca="false">IFERROR(F789-E789,"n/a")</f>
        <v>-0.000388429752066211</v>
      </c>
      <c r="H789" s="42" t="n">
        <v>0.000500001</v>
      </c>
      <c r="I789" s="60" t="str">
        <f aca="false">IFERROR(IF(ABS(F789-E789)&lt;=H789,"PASS","FAIL"),"FAIL")</f>
        <v>PASS</v>
      </c>
    </row>
    <row r="790" customFormat="false" ht="15" hidden="false" customHeight="false" outlineLevel="0" collapsed="false">
      <c r="B790" s="61" t="n">
        <v>782</v>
      </c>
      <c r="C790" s="9" t="s">
        <v>1477</v>
      </c>
      <c r="D790" s="9" t="s">
        <v>1505</v>
      </c>
      <c r="E790" s="63" t="n">
        <v>1.455</v>
      </c>
      <c r="F790" s="58" t="n">
        <f aca="false">Text_Figures!$D$33</f>
        <v>1.45454545454545</v>
      </c>
      <c r="G790" s="31" t="n">
        <f aca="false">IFERROR(F790-E790,"n/a")</f>
        <v>-0.000454545454545485</v>
      </c>
      <c r="H790" s="42" t="n">
        <v>0.000500001</v>
      </c>
      <c r="I790" s="60" t="str">
        <f aca="false">IFERROR(IF(ABS(F790-E790)&lt;=H790,"PASS","FAIL"),"FAIL")</f>
        <v>PASS</v>
      </c>
    </row>
    <row r="791" customFormat="false" ht="15" hidden="false" customHeight="false" outlineLevel="0" collapsed="false">
      <c r="B791" s="61" t="n">
        <v>783</v>
      </c>
      <c r="C791" s="9" t="s">
        <v>1477</v>
      </c>
      <c r="D791" s="9" t="s">
        <v>1506</v>
      </c>
      <c r="E791" s="24" t="n">
        <v>0.77</v>
      </c>
      <c r="F791" s="55" t="n">
        <f aca="false">Text_Figures!$D$34</f>
        <v>0.77</v>
      </c>
      <c r="G791" s="31" t="n">
        <f aca="false">IFERROR(F791-E791,"n/a")</f>
        <v>0</v>
      </c>
      <c r="H791" s="42" t="n">
        <v>0.005000001</v>
      </c>
      <c r="I791" s="60" t="str">
        <f aca="false">IFERROR(IF(ABS(F791-E791)&lt;=H791,"PASS","FAIL"),"FAIL")</f>
        <v>PASS</v>
      </c>
    </row>
    <row r="792" customFormat="false" ht="15" hidden="false" customHeight="false" outlineLevel="0" collapsed="false">
      <c r="B792" s="61" t="n">
        <v>784</v>
      </c>
      <c r="C792" s="9" t="s">
        <v>1477</v>
      </c>
      <c r="D792" s="9" t="s">
        <v>1507</v>
      </c>
      <c r="E792" s="12" t="n">
        <v>16.9</v>
      </c>
      <c r="F792" s="56" t="n">
        <f aca="false">Text_Figures!$D$35</f>
        <v>16.94</v>
      </c>
      <c r="G792" s="31" t="n">
        <f aca="false">IFERROR(F792-E792,"n/a")</f>
        <v>0.0400000000000027</v>
      </c>
      <c r="H792" s="42" t="n">
        <v>0.050000001</v>
      </c>
      <c r="I792" s="60" t="str">
        <f aca="false">IFERROR(IF(ABS(F792-E792)&lt;=H792,"PASS","FAIL"),"FAIL")</f>
        <v>PASS</v>
      </c>
    </row>
    <row r="793" customFormat="false" ht="15" hidden="false" customHeight="false" outlineLevel="0" collapsed="false">
      <c r="B793" s="61" t="n">
        <v>785</v>
      </c>
      <c r="C793" s="9" t="s">
        <v>1477</v>
      </c>
      <c r="D793" s="9" t="s">
        <v>1508</v>
      </c>
      <c r="E793" s="12" t="n">
        <v>38.6</v>
      </c>
      <c r="F793" s="56" t="n">
        <f aca="false">Text_Figures!$D$36</f>
        <v>38.6</v>
      </c>
      <c r="G793" s="31" t="n">
        <f aca="false">IFERROR(F793-E793,"n/a")</f>
        <v>0</v>
      </c>
      <c r="H793" s="42" t="n">
        <v>0.050000001</v>
      </c>
      <c r="I793" s="60" t="str">
        <f aca="false">IFERROR(IF(ABS(F793-E793)&lt;=H793,"PASS","FAIL"),"FAIL")</f>
        <v>PASS</v>
      </c>
    </row>
    <row r="794" customFormat="false" ht="15" hidden="false" customHeight="false" outlineLevel="0" collapsed="false">
      <c r="B794" s="61" t="n">
        <v>786</v>
      </c>
      <c r="C794" s="9" t="s">
        <v>1477</v>
      </c>
      <c r="D794" s="9" t="s">
        <v>1509</v>
      </c>
      <c r="E794" s="12" t="n">
        <v>16.9</v>
      </c>
      <c r="F794" s="56" t="n">
        <f aca="false">Text_Figures!$D$37</f>
        <v>16.94</v>
      </c>
      <c r="G794" s="31" t="n">
        <f aca="false">IFERROR(F794-E794,"n/a")</f>
        <v>0.0400000000000027</v>
      </c>
      <c r="H794" s="42" t="n">
        <v>0.050000001</v>
      </c>
      <c r="I794" s="60" t="str">
        <f aca="false">IFERROR(IF(ABS(F794-E794)&lt;=H794,"PASS","FAIL"),"FAIL")</f>
        <v>PASS</v>
      </c>
    </row>
    <row r="795" customFormat="false" ht="15" hidden="false" customHeight="false" outlineLevel="0" collapsed="false">
      <c r="B795" s="61" t="n">
        <v>787</v>
      </c>
      <c r="C795" s="9" t="s">
        <v>1477</v>
      </c>
      <c r="D795" s="9" t="s">
        <v>1510</v>
      </c>
      <c r="E795" s="12" t="n">
        <v>126.2</v>
      </c>
      <c r="F795" s="56" t="n">
        <f aca="false">Text_Figures!$D$38</f>
        <v>126.168</v>
      </c>
      <c r="G795" s="31" t="n">
        <f aca="false">IFERROR(F795-E795,"n/a")</f>
        <v>-0.0319999999998828</v>
      </c>
      <c r="H795" s="42" t="n">
        <v>0.050000001</v>
      </c>
      <c r="I795" s="60" t="str">
        <f aca="false">IFERROR(IF(ABS(F795-E795)&lt;=H795,"PASS","FAIL"),"FAIL")</f>
        <v>PASS</v>
      </c>
    </row>
    <row r="796" customFormat="false" ht="15" hidden="false" customHeight="false" outlineLevel="0" collapsed="false">
      <c r="B796" s="61" t="n">
        <v>788</v>
      </c>
      <c r="C796" s="9" t="s">
        <v>1477</v>
      </c>
      <c r="D796" s="9" t="s">
        <v>1511</v>
      </c>
      <c r="E796" s="24" t="n">
        <v>19.25</v>
      </c>
      <c r="F796" s="55" t="n">
        <f aca="false">Text_Figures!$D$39</f>
        <v>19.25</v>
      </c>
      <c r="G796" s="31" t="n">
        <f aca="false">IFERROR(F796-E796,"n/a")</f>
        <v>0</v>
      </c>
      <c r="H796" s="42" t="n">
        <v>0.005000001</v>
      </c>
      <c r="I796" s="60" t="str">
        <f aca="false">IFERROR(IF(ABS(F796-E796)&lt;=H796,"PASS","FAIL"),"FAIL")</f>
        <v>PASS</v>
      </c>
    </row>
    <row r="797" customFormat="false" ht="15" hidden="false" customHeight="false" outlineLevel="0" collapsed="false">
      <c r="B797" s="61" t="n">
        <v>789</v>
      </c>
      <c r="C797" s="9" t="s">
        <v>1477</v>
      </c>
      <c r="D797" s="9" t="s">
        <v>1512</v>
      </c>
      <c r="E797" s="24" t="n">
        <v>1.14</v>
      </c>
      <c r="F797" s="55" t="n">
        <f aca="false">Text_Figures!$D$40</f>
        <v>1.14285714285714</v>
      </c>
      <c r="G797" s="31" t="n">
        <f aca="false">IFERROR(F797-E797,"n/a")</f>
        <v>0.00285714285714289</v>
      </c>
      <c r="H797" s="42" t="n">
        <v>0.005000001</v>
      </c>
      <c r="I797" s="60" t="str">
        <f aca="false">IFERROR(IF(ABS(F797-E797)&lt;=H797,"PASS","FAIL"),"FAIL")</f>
        <v>PASS</v>
      </c>
    </row>
    <row r="798" customFormat="false" ht="15" hidden="false" customHeight="false" outlineLevel="0" collapsed="false">
      <c r="B798" s="61" t="n">
        <v>790</v>
      </c>
      <c r="C798" s="9" t="s">
        <v>1477</v>
      </c>
      <c r="D798" s="9" t="s">
        <v>1513</v>
      </c>
      <c r="E798" s="12" t="n">
        <v>9.3</v>
      </c>
      <c r="F798" s="56" t="n">
        <f aca="false">Text_Figures!$D$41</f>
        <v>9.304672</v>
      </c>
      <c r="G798" s="31" t="n">
        <f aca="false">IFERROR(F798-E798,"n/a")</f>
        <v>0.00467199999999579</v>
      </c>
      <c r="H798" s="42" t="n">
        <v>0.050000001</v>
      </c>
      <c r="I798" s="60" t="str">
        <f aca="false">IFERROR(IF(ABS(F798-E798)&lt;=H798,"PASS","FAIL"),"FAIL")</f>
        <v>PASS</v>
      </c>
    </row>
    <row r="799" customFormat="false" ht="15" hidden="false" customHeight="false" outlineLevel="0" collapsed="false">
      <c r="B799" s="61" t="n">
        <v>791</v>
      </c>
      <c r="C799" s="9" t="s">
        <v>1477</v>
      </c>
      <c r="D799" s="9" t="s">
        <v>1514</v>
      </c>
      <c r="E799" s="12" t="n">
        <v>375.4</v>
      </c>
      <c r="F799" s="56" t="n">
        <f aca="false">Text_Figures!$D$42</f>
        <v>375.356836009175</v>
      </c>
      <c r="G799" s="31" t="n">
        <f aca="false">IFERROR(F799-E799,"n/a")</f>
        <v>-0.0431639908248371</v>
      </c>
      <c r="H799" s="42" t="n">
        <v>0.050000001</v>
      </c>
      <c r="I799" s="60" t="str">
        <f aca="false">IFERROR(IF(ABS(F799-E799)&lt;=H799,"PASS","FAIL"),"FAIL")</f>
        <v>PASS</v>
      </c>
    </row>
    <row r="800" customFormat="false" ht="15" hidden="false" customHeight="false" outlineLevel="0" collapsed="false">
      <c r="B800" s="61" t="n">
        <v>792</v>
      </c>
      <c r="C800" s="9" t="s">
        <v>1477</v>
      </c>
      <c r="D800" s="9" t="s">
        <v>1515</v>
      </c>
      <c r="E800" s="12" t="n">
        <v>115.5</v>
      </c>
      <c r="F800" s="56" t="n">
        <f aca="false">Text_Figures!$D$43</f>
        <v>115.5</v>
      </c>
      <c r="G800" s="31" t="n">
        <f aca="false">IFERROR(F800-E800,"n/a")</f>
        <v>0</v>
      </c>
      <c r="H800" s="42" t="n">
        <v>0.050000001</v>
      </c>
      <c r="I800" s="60" t="str">
        <f aca="false">IFERROR(IF(ABS(F800-E800)&lt;=H800,"PASS","FAIL"),"FAIL")</f>
        <v>PASS</v>
      </c>
    </row>
    <row r="801" customFormat="false" ht="15" hidden="false" customHeight="false" outlineLevel="0" collapsed="false">
      <c r="B801" s="61" t="n">
        <v>793</v>
      </c>
      <c r="C801" s="9" t="s">
        <v>1477</v>
      </c>
      <c r="D801" s="9" t="s">
        <v>1516</v>
      </c>
      <c r="E801" s="63" t="n">
        <v>0.125</v>
      </c>
      <c r="F801" s="58" t="n">
        <f aca="false">Text_Figures!$D$44</f>
        <v>0.125020478660002</v>
      </c>
      <c r="G801" s="31" t="n">
        <f aca="false">IFERROR(F801-E801,"n/a")</f>
        <v>2.04786600015439E-005</v>
      </c>
      <c r="H801" s="42" t="n">
        <v>0.000500001</v>
      </c>
      <c r="I801" s="60" t="str">
        <f aca="false">IFERROR(IF(ABS(F801-E801)&lt;=H801,"PASS","FAIL"),"FAIL")</f>
        <v>PASS</v>
      </c>
    </row>
    <row r="802" customFormat="false" ht="15" hidden="false" customHeight="false" outlineLevel="0" collapsed="false">
      <c r="B802" s="61" t="n">
        <v>794</v>
      </c>
      <c r="C802" s="9" t="s">
        <v>1477</v>
      </c>
      <c r="D802" s="9" t="s">
        <v>1517</v>
      </c>
      <c r="E802" s="24" t="n">
        <v>69.44</v>
      </c>
      <c r="F802" s="55" t="n">
        <f aca="false">Text_Figures!$D$45</f>
        <v>69.44</v>
      </c>
      <c r="G802" s="31" t="n">
        <f aca="false">IFERROR(F802-E802,"n/a")</f>
        <v>0</v>
      </c>
      <c r="H802" s="42" t="n">
        <v>0.005000001</v>
      </c>
      <c r="I802" s="60" t="str">
        <f aca="false">IFERROR(IF(ABS(F802-E802)&lt;=H802,"PASS","FAIL"),"FAIL")</f>
        <v>PASS</v>
      </c>
    </row>
    <row r="803" customFormat="false" ht="15" hidden="false" customHeight="false" outlineLevel="0" collapsed="false">
      <c r="B803" s="61" t="n">
        <v>795</v>
      </c>
      <c r="C803" s="9" t="s">
        <v>1477</v>
      </c>
      <c r="D803" s="9" t="s">
        <v>1518</v>
      </c>
      <c r="E803" s="24" t="n">
        <v>80.93</v>
      </c>
      <c r="F803" s="55" t="n">
        <f aca="false">Text_Figures!$D$46</f>
        <v>80.9282054768518</v>
      </c>
      <c r="G803" s="31" t="n">
        <f aca="false">IFERROR(F803-E803,"n/a")</f>
        <v>-0.00179452314824857</v>
      </c>
      <c r="H803" s="42" t="n">
        <v>0.005000001</v>
      </c>
      <c r="I803" s="60" t="str">
        <f aca="false">IFERROR(IF(ABS(F803-E803)&lt;=H803,"PASS","FAIL"),"FAIL")</f>
        <v>PASS</v>
      </c>
    </row>
    <row r="804" customFormat="false" ht="15" hidden="false" customHeight="false" outlineLevel="0" collapsed="false">
      <c r="B804" s="61" t="n">
        <v>796</v>
      </c>
      <c r="C804" s="9" t="s">
        <v>1477</v>
      </c>
      <c r="D804" s="9" t="s">
        <v>1519</v>
      </c>
      <c r="E804" s="24" t="n">
        <v>1.62</v>
      </c>
      <c r="F804" s="55" t="n">
        <f aca="false">Text_Figures!$D$47</f>
        <v>1.62129380882149</v>
      </c>
      <c r="G804" s="31" t="n">
        <f aca="false">IFERROR(F804-E804,"n/a")</f>
        <v>0.0012938088214911</v>
      </c>
      <c r="H804" s="42" t="n">
        <v>0.005000001</v>
      </c>
      <c r="I804" s="60" t="str">
        <f aca="false">IFERROR(IF(ABS(F804-E804)&lt;=H804,"PASS","FAIL"),"FAIL")</f>
        <v>PASS</v>
      </c>
    </row>
    <row r="805" customFormat="false" ht="15" hidden="false" customHeight="false" outlineLevel="0" collapsed="false">
      <c r="B805" s="61" t="n">
        <v>797</v>
      </c>
      <c r="C805" s="9" t="s">
        <v>1477</v>
      </c>
      <c r="D805" s="9" t="s">
        <v>1520</v>
      </c>
      <c r="E805" s="24" t="n">
        <v>40.25</v>
      </c>
      <c r="F805" s="55" t="n">
        <f aca="false">Text_Figures!$D$48</f>
        <v>40.2510164988064</v>
      </c>
      <c r="G805" s="31" t="n">
        <f aca="false">IFERROR(F805-E805,"n/a")</f>
        <v>0.00101649880639343</v>
      </c>
      <c r="H805" s="42" t="n">
        <v>0.005000001</v>
      </c>
      <c r="I805" s="60" t="str">
        <f aca="false">IFERROR(IF(ABS(F805-E805)&lt;=H805,"PASS","FAIL"),"FAIL")</f>
        <v>PASS</v>
      </c>
    </row>
    <row r="806" customFormat="false" ht="15" hidden="false" customHeight="false" outlineLevel="0" collapsed="false">
      <c r="B806" s="61" t="n">
        <v>798</v>
      </c>
      <c r="C806" s="9" t="s">
        <v>1477</v>
      </c>
      <c r="D806" s="9" t="s">
        <v>1521</v>
      </c>
      <c r="E806" s="24" t="n">
        <v>16.82</v>
      </c>
      <c r="F806" s="55" t="n">
        <f aca="false">Text_Figures!$D$49</f>
        <v>16.815678041963</v>
      </c>
      <c r="G806" s="31" t="n">
        <f aca="false">IFERROR(F806-E806,"n/a")</f>
        <v>-0.00432195803704616</v>
      </c>
      <c r="H806" s="42" t="n">
        <v>0.005000001</v>
      </c>
      <c r="I806" s="60" t="str">
        <f aca="false">IFERROR(IF(ABS(F806-E806)&lt;=H806,"PASS","FAIL"),"FAIL")</f>
        <v>PASS</v>
      </c>
    </row>
    <row r="807" customFormat="false" ht="15" hidden="false" customHeight="false" outlineLevel="0" collapsed="false">
      <c r="B807" s="61" t="n">
        <v>799</v>
      </c>
      <c r="C807" s="9" t="s">
        <v>1477</v>
      </c>
      <c r="D807" s="9" t="s">
        <v>1522</v>
      </c>
      <c r="E807" s="12" t="n">
        <v>23.1</v>
      </c>
      <c r="F807" s="56" t="n">
        <f aca="false">Text_Figures!$D$50</f>
        <v>23.0723599999999</v>
      </c>
      <c r="G807" s="31" t="n">
        <f aca="false">IFERROR(F807-E807,"n/a")</f>
        <v>-0.0276400000001118</v>
      </c>
      <c r="H807" s="42" t="n">
        <v>0.050000001</v>
      </c>
      <c r="I807" s="60" t="str">
        <f aca="false">IFERROR(IF(ABS(F807-E807)&lt;=H807,"PASS","FAIL"),"FAIL")</f>
        <v>PASS</v>
      </c>
    </row>
    <row r="808" customFormat="false" ht="15" hidden="false" customHeight="false" outlineLevel="0" collapsed="false">
      <c r="B808" s="61" t="n">
        <v>800</v>
      </c>
      <c r="C808" s="9" t="s">
        <v>1477</v>
      </c>
      <c r="D808" s="9" t="s">
        <v>1523</v>
      </c>
      <c r="E808" s="11" t="n">
        <v>0.777</v>
      </c>
      <c r="F808" s="62" t="n">
        <f aca="false">Text_Figures!$D$51</f>
        <v>0.776595744680851</v>
      </c>
      <c r="G808" s="31" t="n">
        <f aca="false">IFERROR(F808-E808,"n/a")</f>
        <v>-0.000404255319149005</v>
      </c>
      <c r="H808" s="42" t="n">
        <v>0.000500001</v>
      </c>
      <c r="I808" s="60" t="str">
        <f aca="false">IFERROR(IF(ABS(F808-E808)&lt;=H808,"PASS","FAIL"),"FAIL")</f>
        <v>PASS</v>
      </c>
    </row>
    <row r="809" customFormat="false" ht="15" hidden="false" customHeight="false" outlineLevel="0" collapsed="false">
      <c r="B809" s="61" t="n">
        <v>801</v>
      </c>
      <c r="C809" s="9" t="s">
        <v>1477</v>
      </c>
      <c r="D809" s="9" t="s">
        <v>1524</v>
      </c>
      <c r="E809" s="12" t="n">
        <v>2441</v>
      </c>
      <c r="F809" s="56" t="n">
        <f aca="false">Text_Figures!$D$52</f>
        <v>2441</v>
      </c>
      <c r="G809" s="31" t="n">
        <f aca="false">IFERROR(F809-E809,"n/a")</f>
        <v>0</v>
      </c>
      <c r="H809" s="42" t="n">
        <v>0.050000001</v>
      </c>
      <c r="I809" s="60" t="str">
        <f aca="false">IFERROR(IF(ABS(F809-E809)&lt;=H809,"PASS","FAIL"),"FAIL")</f>
        <v>PASS</v>
      </c>
    </row>
    <row r="810" customFormat="false" ht="15" hidden="false" customHeight="false" outlineLevel="0" collapsed="false">
      <c r="B810" s="61" t="n">
        <v>802</v>
      </c>
      <c r="C810" s="9" t="s">
        <v>1477</v>
      </c>
      <c r="D810" s="9" t="s">
        <v>1525</v>
      </c>
      <c r="E810" s="12" t="n">
        <v>31.7</v>
      </c>
      <c r="F810" s="56" t="n">
        <f aca="false">Text_Figures!$D$53</f>
        <v>31.7092448000003</v>
      </c>
      <c r="G810" s="31" t="n">
        <f aca="false">IFERROR(F810-E810,"n/a")</f>
        <v>0.0092448000003067</v>
      </c>
      <c r="H810" s="42" t="n">
        <v>0.050000001</v>
      </c>
      <c r="I810" s="60" t="str">
        <f aca="false">IFERROR(IF(ABS(F810-E810)&lt;=H810,"PASS","FAIL"),"FAIL")</f>
        <v>PASS</v>
      </c>
    </row>
    <row r="811" customFormat="false" ht="15" hidden="false" customHeight="false" outlineLevel="0" collapsed="false">
      <c r="B811" s="61" t="n">
        <v>803</v>
      </c>
      <c r="C811" s="9" t="s">
        <v>1477</v>
      </c>
      <c r="D811" s="9" t="s">
        <v>1526</v>
      </c>
      <c r="E811" s="63" t="n">
        <v>1.009</v>
      </c>
      <c r="F811" s="58" t="n">
        <f aca="false">Text_Figures!$D$54</f>
        <v>1.00906002265006</v>
      </c>
      <c r="G811" s="31" t="n">
        <f aca="false">IFERROR(F811-E811,"n/a")</f>
        <v>6.00226500566681E-005</v>
      </c>
      <c r="H811" s="42" t="n">
        <v>0.000500001</v>
      </c>
      <c r="I811" s="60" t="str">
        <f aca="false">IFERROR(IF(ABS(F811-E811)&lt;=H811,"PASS","FAIL"),"FAIL")</f>
        <v>PASS</v>
      </c>
    </row>
    <row r="812" customFormat="false" ht="15" hidden="false" customHeight="false" outlineLevel="0" collapsed="false">
      <c r="B812" s="61" t="n">
        <v>804</v>
      </c>
      <c r="C812" s="9" t="s">
        <v>1477</v>
      </c>
      <c r="D812" s="9" t="s">
        <v>1527</v>
      </c>
      <c r="E812" s="63" t="n">
        <v>1.047</v>
      </c>
      <c r="F812" s="58" t="n">
        <f aca="false">Text_Figures!$D$55</f>
        <v>1.04657687991021</v>
      </c>
      <c r="G812" s="31" t="n">
        <f aca="false">IFERROR(F812-E812,"n/a")</f>
        <v>-0.000423120089786622</v>
      </c>
      <c r="H812" s="42" t="n">
        <v>0.000500001</v>
      </c>
      <c r="I812" s="60" t="str">
        <f aca="false">IFERROR(IF(ABS(F812-E812)&lt;=H812,"PASS","FAIL"),"FAIL")</f>
        <v>PASS</v>
      </c>
    </row>
    <row r="813" customFormat="false" ht="15" hidden="false" customHeight="false" outlineLevel="0" collapsed="false">
      <c r="B813" s="61" t="n">
        <v>805</v>
      </c>
      <c r="C813" s="9" t="s">
        <v>1477</v>
      </c>
      <c r="D813" s="9" t="s">
        <v>1528</v>
      </c>
      <c r="E813" s="63" t="n">
        <v>1.056</v>
      </c>
      <c r="F813" s="58" t="n">
        <f aca="false">Text_Figures!$D$56</f>
        <v>1.05605889014723</v>
      </c>
      <c r="G813" s="31" t="n">
        <f aca="false">IFERROR(F813-E813,"n/a")</f>
        <v>5.88901472253767E-005</v>
      </c>
      <c r="H813" s="42" t="n">
        <v>0.000500001</v>
      </c>
      <c r="I813" s="60" t="str">
        <f aca="false">IFERROR(IF(ABS(F813-E813)&lt;=H813,"PASS","FAIL"),"FAIL")</f>
        <v>PASS</v>
      </c>
    </row>
    <row r="814" customFormat="false" ht="15" hidden="false" customHeight="false" outlineLevel="0" collapsed="false">
      <c r="B814" s="61" t="n">
        <v>806</v>
      </c>
      <c r="C814" s="9" t="s">
        <v>1477</v>
      </c>
      <c r="D814" s="9" t="s">
        <v>1529</v>
      </c>
      <c r="E814" s="24" t="n">
        <v>15.35</v>
      </c>
      <c r="F814" s="55" t="n">
        <f aca="false">Text_Figures!$D$57</f>
        <v>15.35</v>
      </c>
      <c r="G814" s="31" t="n">
        <f aca="false">IFERROR(F814-E814,"n/a")</f>
        <v>0</v>
      </c>
      <c r="H814" s="42" t="n">
        <v>0.005000001</v>
      </c>
      <c r="I814" s="60" t="str">
        <f aca="false">IFERROR(IF(ABS(F814-E814)&lt;=H814,"PASS","FAIL"),"FAIL")</f>
        <v>PASS</v>
      </c>
    </row>
    <row r="815" customFormat="false" ht="15" hidden="false" customHeight="false" outlineLevel="0" collapsed="false">
      <c r="B815" s="61" t="n">
        <v>807</v>
      </c>
      <c r="C815" s="9" t="s">
        <v>1477</v>
      </c>
      <c r="D815" s="9" t="s">
        <v>1530</v>
      </c>
      <c r="E815" s="24" t="n">
        <v>24.25</v>
      </c>
      <c r="F815" s="55" t="n">
        <f aca="false">Text_Figures!$D$58</f>
        <v>24.25</v>
      </c>
      <c r="G815" s="31" t="n">
        <f aca="false">IFERROR(F815-E815,"n/a")</f>
        <v>0</v>
      </c>
      <c r="H815" s="42" t="n">
        <v>0.005000001</v>
      </c>
      <c r="I815" s="60" t="str">
        <f aca="false">IFERROR(IF(ABS(F815-E815)&lt;=H815,"PASS","FAIL"),"FAIL")</f>
        <v>PASS</v>
      </c>
    </row>
    <row r="816" customFormat="false" ht="15" hidden="false" customHeight="false" outlineLevel="0" collapsed="false">
      <c r="B816" s="61" t="n">
        <v>808</v>
      </c>
      <c r="C816" s="9" t="s">
        <v>1477</v>
      </c>
      <c r="D816" s="9" t="s">
        <v>1531</v>
      </c>
      <c r="E816" s="12" t="n">
        <v>19.8</v>
      </c>
      <c r="F816" s="56" t="n">
        <f aca="false">Text_Figures!$D$59</f>
        <v>19.8</v>
      </c>
      <c r="G816" s="31" t="n">
        <f aca="false">IFERROR(F816-E816,"n/a")</f>
        <v>0</v>
      </c>
      <c r="H816" s="42" t="n">
        <v>0.050000001</v>
      </c>
      <c r="I816" s="60" t="str">
        <f aca="false">IFERROR(IF(ABS(F816-E816)&lt;=H816,"PASS","FAIL"),"FAIL")</f>
        <v>PASS</v>
      </c>
    </row>
    <row r="817" customFormat="false" ht="15" hidden="false" customHeight="false" outlineLevel="0" collapsed="false">
      <c r="B817" s="61" t="n">
        <v>809</v>
      </c>
      <c r="C817" s="9" t="s">
        <v>1477</v>
      </c>
      <c r="D817" s="9" t="s">
        <v>1532</v>
      </c>
      <c r="E817" s="63" t="n">
        <v>1.058</v>
      </c>
      <c r="F817" s="58" t="n">
        <f aca="false">Text_Figures!$D$60</f>
        <v>1.05820105820106</v>
      </c>
      <c r="G817" s="31" t="n">
        <f aca="false">IFERROR(F817-E817,"n/a")</f>
        <v>0.000201058201058313</v>
      </c>
      <c r="H817" s="42" t="n">
        <v>0.000500001</v>
      </c>
      <c r="I817" s="60" t="str">
        <f aca="false">IFERROR(IF(ABS(F817-E817)&lt;=H817,"PASS","FAIL"),"FAIL")</f>
        <v>PASS</v>
      </c>
    </row>
    <row r="818" customFormat="false" ht="15" hidden="false" customHeight="false" outlineLevel="0" collapsed="false">
      <c r="B818" s="61" t="n">
        <v>810</v>
      </c>
      <c r="C818" s="9" t="s">
        <v>1477</v>
      </c>
      <c r="D818" s="9" t="s">
        <v>1533</v>
      </c>
      <c r="E818" s="24" t="n">
        <v>10.08</v>
      </c>
      <c r="F818" s="55" t="n">
        <f aca="false">Text_Figures!$D$61</f>
        <v>10.0761299743735</v>
      </c>
      <c r="G818" s="31" t="n">
        <f aca="false">IFERROR(F818-E818,"n/a")</f>
        <v>-0.00387002562648497</v>
      </c>
      <c r="H818" s="42" t="n">
        <v>0.005000001</v>
      </c>
      <c r="I818" s="60" t="str">
        <f aca="false">IFERROR(IF(ABS(F818-E818)&lt;=H818,"PASS","FAIL"),"FAIL")</f>
        <v>PASS</v>
      </c>
    </row>
    <row r="819" customFormat="false" ht="15" hidden="false" customHeight="false" outlineLevel="0" collapsed="false">
      <c r="B819" s="61" t="n">
        <v>811</v>
      </c>
      <c r="C819" s="9" t="s">
        <v>1477</v>
      </c>
      <c r="D819" s="9" t="s">
        <v>1534</v>
      </c>
      <c r="E819" s="63" t="n">
        <v>1.02</v>
      </c>
      <c r="F819" s="58" t="n">
        <f aca="false">Text_Figures!$D$62</f>
        <v>1.02040816326531</v>
      </c>
      <c r="G819" s="31" t="n">
        <f aca="false">IFERROR(F819-E819,"n/a")</f>
        <v>0.000408163265306127</v>
      </c>
      <c r="H819" s="42" t="n">
        <v>0.000500001</v>
      </c>
      <c r="I819" s="60" t="str">
        <f aca="false">IFERROR(IF(ABS(F819-E819)&lt;=H819,"PASS","FAIL"),"FAIL")</f>
        <v>PASS</v>
      </c>
    </row>
    <row r="820" customFormat="false" ht="15" hidden="false" customHeight="false" outlineLevel="0" collapsed="false">
      <c r="B820" s="61" t="n">
        <v>812</v>
      </c>
      <c r="C820" s="9" t="s">
        <v>1477</v>
      </c>
      <c r="D820" s="9" t="s">
        <v>1535</v>
      </c>
      <c r="E820" s="24" t="n">
        <v>87.97</v>
      </c>
      <c r="F820" s="55" t="n">
        <f aca="false">Text_Figures!$D$63</f>
        <v>87.96831232</v>
      </c>
      <c r="G820" s="31" t="n">
        <f aca="false">IFERROR(F820-E820,"n/a")</f>
        <v>-0.00168767999997499</v>
      </c>
      <c r="H820" s="42" t="n">
        <v>0.005000001</v>
      </c>
      <c r="I820" s="60" t="str">
        <f aca="false">IFERROR(IF(ABS(F820-E820)&lt;=H820,"PASS","FAIL"),"FAIL")</f>
        <v>PASS</v>
      </c>
    </row>
    <row r="821" customFormat="false" ht="15" hidden="false" customHeight="false" outlineLevel="0" collapsed="false">
      <c r="B821" s="61" t="n">
        <v>813</v>
      </c>
      <c r="C821" s="9" t="s">
        <v>1477</v>
      </c>
      <c r="D821" s="9" t="s">
        <v>1536</v>
      </c>
      <c r="E821" s="12" t="n">
        <v>5494.4</v>
      </c>
      <c r="F821" s="56" t="n">
        <f aca="false">Text_Figures!$D$64</f>
        <v>5494.4</v>
      </c>
      <c r="G821" s="31" t="n">
        <f aca="false">IFERROR(F821-E821,"n/a")</f>
        <v>0</v>
      </c>
      <c r="H821" s="42" t="n">
        <v>0.050000001</v>
      </c>
      <c r="I821" s="60" t="str">
        <f aca="false">IFERROR(IF(ABS(F821-E821)&lt;=H821,"PASS","FAIL"),"FAIL")</f>
        <v>PASS</v>
      </c>
    </row>
    <row r="822" customFormat="false" ht="15" hidden="false" customHeight="false" outlineLevel="0" collapsed="false">
      <c r="B822" s="61" t="n">
        <v>814</v>
      </c>
      <c r="C822" s="9" t="s">
        <v>1477</v>
      </c>
      <c r="D822" s="9" t="s">
        <v>1537</v>
      </c>
      <c r="E822" s="12" t="n">
        <v>6500.5</v>
      </c>
      <c r="F822" s="56" t="n">
        <f aca="false">Text_Figures!$D$65</f>
        <v>6500.50205312</v>
      </c>
      <c r="G822" s="31" t="n">
        <f aca="false">IFERROR(F822-E822,"n/a")</f>
        <v>0.0020531199998004</v>
      </c>
      <c r="H822" s="42" t="n">
        <v>0.050000001</v>
      </c>
      <c r="I822" s="60" t="str">
        <f aca="false">IFERROR(IF(ABS(F822-E822)&lt;=H822,"PASS","FAIL"),"FAIL")</f>
        <v>PASS</v>
      </c>
    </row>
    <row r="823" customFormat="false" ht="15" hidden="false" customHeight="false" outlineLevel="0" collapsed="false">
      <c r="B823" s="61" t="n">
        <v>815</v>
      </c>
      <c r="C823" s="9" t="s">
        <v>1477</v>
      </c>
      <c r="D823" s="9" t="s">
        <v>1538</v>
      </c>
      <c r="E823" s="12" t="n">
        <v>245.8</v>
      </c>
      <c r="F823" s="56" t="n">
        <f aca="false">Text_Figures!$D$66</f>
        <v>245.76285888</v>
      </c>
      <c r="G823" s="31" t="n">
        <f aca="false">IFERROR(F823-E823,"n/a")</f>
        <v>-0.0371411199999443</v>
      </c>
      <c r="H823" s="42" t="n">
        <v>0.050000001</v>
      </c>
      <c r="I823" s="60" t="str">
        <f aca="false">IFERROR(IF(ABS(F823-E823)&lt;=H823,"PASS","FAIL"),"FAIL")</f>
        <v>PASS</v>
      </c>
    </row>
    <row r="824" customFormat="false" ht="15" hidden="false" customHeight="false" outlineLevel="0" collapsed="false">
      <c r="B824" s="61" t="n">
        <v>816</v>
      </c>
      <c r="C824" s="9" t="s">
        <v>1477</v>
      </c>
      <c r="D824" s="9" t="s">
        <v>1539</v>
      </c>
      <c r="E824" s="12" t="n">
        <v>42.4</v>
      </c>
      <c r="F824" s="56" t="n">
        <f aca="false">Text_Figures!$D$67</f>
        <v>42.35</v>
      </c>
      <c r="G824" s="31" t="n">
        <f aca="false">IFERROR(F824-E824,"n/a")</f>
        <v>-0.0499999999999972</v>
      </c>
      <c r="H824" s="42" t="n">
        <v>0.050000001</v>
      </c>
      <c r="I824" s="60" t="str">
        <f aca="false">IFERROR(IF(ABS(F824-E824)&lt;=H824,"PASS","FAIL"),"FAIL")</f>
        <v>PASS</v>
      </c>
    </row>
    <row r="825" customFormat="false" ht="15" hidden="false" customHeight="false" outlineLevel="0" collapsed="false">
      <c r="B825" s="61" t="n">
        <v>817</v>
      </c>
      <c r="C825" s="9" t="s">
        <v>1477</v>
      </c>
      <c r="D825" s="9" t="s">
        <v>1540</v>
      </c>
      <c r="E825" s="45" t="n">
        <v>0.0704</v>
      </c>
      <c r="F825" s="65" t="n">
        <f aca="false">Text_Figures!$D$68</f>
        <v>0.0704</v>
      </c>
      <c r="G825" s="31" t="n">
        <f aca="false">IFERROR(F825-E825,"n/a")</f>
        <v>0</v>
      </c>
      <c r="H825" s="42" t="n">
        <v>5.0001E-005</v>
      </c>
      <c r="I825" s="60" t="str">
        <f aca="false">IFERROR(IF(ABS(F825-E825)&lt;=H825,"PASS","FAIL"),"FAIL")</f>
        <v>PASS</v>
      </c>
    </row>
    <row r="826" customFormat="false" ht="15" hidden="false" customHeight="false" outlineLevel="0" collapsed="false">
      <c r="B826" s="61" t="n">
        <v>818</v>
      </c>
      <c r="C826" s="9" t="s">
        <v>1477</v>
      </c>
      <c r="D826" s="9" t="s">
        <v>1541</v>
      </c>
      <c r="E826" s="45" t="n">
        <v>0.0077</v>
      </c>
      <c r="F826" s="65" t="n">
        <f aca="false">Text_Figures!$D$69</f>
        <v>0.0077</v>
      </c>
      <c r="G826" s="31" t="n">
        <f aca="false">IFERROR(F826-E826,"n/a")</f>
        <v>0</v>
      </c>
      <c r="H826" s="42" t="n">
        <v>5.0001E-005</v>
      </c>
      <c r="I826" s="60" t="str">
        <f aca="false">IFERROR(IF(ABS(F826-E826)&lt;=H826,"PASS","FAIL"),"FAIL")</f>
        <v>PASS</v>
      </c>
    </row>
    <row r="827" customFormat="false" ht="15" hidden="false" customHeight="false" outlineLevel="0" collapsed="false">
      <c r="B827" s="61" t="n">
        <v>819</v>
      </c>
      <c r="C827" s="9" t="s">
        <v>1477</v>
      </c>
      <c r="D827" s="9" t="s">
        <v>1542</v>
      </c>
      <c r="E827" s="63" t="n">
        <v>1.088</v>
      </c>
      <c r="F827" s="58" t="n">
        <f aca="false">Text_Figures!$D$70</f>
        <v>1.088</v>
      </c>
      <c r="G827" s="31" t="n">
        <f aca="false">IFERROR(F827-E827,"n/a")</f>
        <v>0</v>
      </c>
      <c r="H827" s="42" t="n">
        <v>0.000500001</v>
      </c>
      <c r="I827" s="60" t="str">
        <f aca="false">IFERROR(IF(ABS(F827-E827)&lt;=H827,"PASS","FAIL"),"FAIL")</f>
        <v>PASS</v>
      </c>
    </row>
    <row r="828" customFormat="false" ht="15" hidden="false" customHeight="false" outlineLevel="0" collapsed="false">
      <c r="B828" s="61" t="n">
        <v>820</v>
      </c>
      <c r="C828" s="9" t="s">
        <v>1477</v>
      </c>
      <c r="D828" s="9" t="s">
        <v>1543</v>
      </c>
      <c r="E828" s="24" t="n">
        <v>103.43</v>
      </c>
      <c r="F828" s="55" t="n">
        <f aca="false">Text_Figures!$D$71</f>
        <v>103.426357964436</v>
      </c>
      <c r="G828" s="31" t="n">
        <f aca="false">IFERROR(F828-E828,"n/a")</f>
        <v>-0.00364203556441112</v>
      </c>
      <c r="H828" s="42" t="n">
        <v>0.005000001</v>
      </c>
      <c r="I828" s="60" t="str">
        <f aca="false">IFERROR(IF(ABS(F828-E828)&lt;=H828,"PASS","FAIL"),"FAIL")</f>
        <v>PASS</v>
      </c>
    </row>
    <row r="829" customFormat="false" ht="15" hidden="false" customHeight="false" outlineLevel="0" collapsed="false">
      <c r="B829" s="61" t="n">
        <v>821</v>
      </c>
      <c r="C829" s="9" t="s">
        <v>1477</v>
      </c>
      <c r="D829" s="9" t="s">
        <v>1544</v>
      </c>
      <c r="E829" s="24" t="n">
        <v>1.58</v>
      </c>
      <c r="F829" s="55" t="n">
        <f aca="false">Text_Figures!$D$72</f>
        <v>1.58100848633261</v>
      </c>
      <c r="G829" s="31" t="n">
        <f aca="false">IFERROR(F829-E829,"n/a")</f>
        <v>0.00100848633260764</v>
      </c>
      <c r="H829" s="42" t="n">
        <v>0.005000001</v>
      </c>
      <c r="I829" s="60" t="str">
        <f aca="false">IFERROR(IF(ABS(F829-E829)&lt;=H829,"PASS","FAIL"),"FAIL")</f>
        <v>PASS</v>
      </c>
    </row>
    <row r="830" customFormat="false" ht="15" hidden="false" customHeight="false" outlineLevel="0" collapsed="false">
      <c r="B830" s="61" t="n">
        <v>822</v>
      </c>
      <c r="C830" s="9" t="s">
        <v>1477</v>
      </c>
      <c r="D830" s="9" t="s">
        <v>1545</v>
      </c>
      <c r="E830" s="24" t="n">
        <v>11.29</v>
      </c>
      <c r="F830" s="55" t="n">
        <f aca="false">Text_Figures!$D$73</f>
        <v>11.29</v>
      </c>
      <c r="G830" s="31" t="n">
        <f aca="false">IFERROR(F830-E830,"n/a")</f>
        <v>0</v>
      </c>
      <c r="H830" s="42" t="n">
        <v>0.005000001</v>
      </c>
      <c r="I830" s="60" t="str">
        <f aca="false">IFERROR(IF(ABS(F830-E830)&lt;=H830,"PASS","FAIL"),"FAIL")</f>
        <v>PASS</v>
      </c>
    </row>
    <row r="831" customFormat="false" ht="15" hidden="false" customHeight="false" outlineLevel="0" collapsed="false">
      <c r="B831" s="61" t="n">
        <v>823</v>
      </c>
      <c r="C831" s="9" t="s">
        <v>1477</v>
      </c>
      <c r="D831" s="9" t="s">
        <v>1546</v>
      </c>
      <c r="E831" s="63" t="n">
        <v>1.012</v>
      </c>
      <c r="F831" s="58" t="n">
        <f aca="false">Text_Figures!$D$74</f>
        <v>1.01152726529891</v>
      </c>
      <c r="G831" s="31" t="n">
        <f aca="false">IFERROR(F831-E831,"n/a")</f>
        <v>-0.000472734701085775</v>
      </c>
      <c r="H831" s="42" t="n">
        <v>0.000500001</v>
      </c>
      <c r="I831" s="60" t="str">
        <f aca="false">IFERROR(IF(ABS(F831-E831)&lt;=H831,"PASS","FAIL"),"FAIL")</f>
        <v>PASS</v>
      </c>
    </row>
    <row r="832" customFormat="false" ht="15" hidden="false" customHeight="false" outlineLevel="0" collapsed="false">
      <c r="B832" s="61" t="n">
        <v>824</v>
      </c>
      <c r="C832" s="9" t="s">
        <v>1477</v>
      </c>
      <c r="D832" s="9" t="s">
        <v>1547</v>
      </c>
      <c r="E832" s="24" t="n">
        <v>11.47</v>
      </c>
      <c r="F832" s="55" t="n">
        <f aca="false">Text_Figures!$D$75</f>
        <v>11.4705882352941</v>
      </c>
      <c r="G832" s="31" t="n">
        <f aca="false">IFERROR(F832-E832,"n/a")</f>
        <v>0.000588235294117112</v>
      </c>
      <c r="H832" s="42" t="n">
        <v>0.005000001</v>
      </c>
      <c r="I832" s="60" t="str">
        <f aca="false">IFERROR(IF(ABS(F832-E832)&lt;=H832,"PASS","FAIL"),"FAIL")</f>
        <v>PASS</v>
      </c>
    </row>
    <row r="833" customFormat="false" ht="15" hidden="false" customHeight="false" outlineLevel="0" collapsed="false">
      <c r="B833" s="61" t="n">
        <v>825</v>
      </c>
      <c r="C833" s="9" t="s">
        <v>1477</v>
      </c>
      <c r="D833" s="9" t="s">
        <v>1548</v>
      </c>
      <c r="E833" s="24" t="n">
        <v>3.14</v>
      </c>
      <c r="F833" s="55" t="n">
        <f aca="false">Text_Figures!$D$76</f>
        <v>3.13954560661765</v>
      </c>
      <c r="G833" s="31" t="n">
        <f aca="false">IFERROR(F833-E833,"n/a")</f>
        <v>-0.000454393382353757</v>
      </c>
      <c r="H833" s="42" t="n">
        <v>0.005000001</v>
      </c>
      <c r="I833" s="60" t="str">
        <f aca="false">IFERROR(IF(ABS(F833-E833)&lt;=H833,"PASS","FAIL"),"FAIL")</f>
        <v>PASS</v>
      </c>
    </row>
    <row r="834" customFormat="false" ht="15" hidden="false" customHeight="false" outlineLevel="0" collapsed="false">
      <c r="B834" s="61" t="n">
        <v>826</v>
      </c>
      <c r="C834" s="9" t="s">
        <v>1477</v>
      </c>
      <c r="D834" s="9" t="s">
        <v>1549</v>
      </c>
      <c r="E834" s="24" t="n">
        <v>90.15</v>
      </c>
      <c r="F834" s="55" t="n">
        <f aca="false">Text_Figures!$D$77</f>
        <v>90.1471529590588</v>
      </c>
      <c r="G834" s="31" t="n">
        <f aca="false">IFERROR(F834-E834,"n/a")</f>
        <v>-0.0028470409411625</v>
      </c>
      <c r="H834" s="42" t="n">
        <v>0.005000001</v>
      </c>
      <c r="I834" s="60" t="str">
        <f aca="false">IFERROR(IF(ABS(F834-E834)&lt;=H834,"PASS","FAIL"),"FAIL")</f>
        <v>PASS</v>
      </c>
    </row>
    <row r="835" customFormat="false" ht="15" hidden="false" customHeight="false" outlineLevel="0" collapsed="false">
      <c r="B835" s="61" t="n">
        <v>827</v>
      </c>
      <c r="C835" s="9" t="s">
        <v>1477</v>
      </c>
      <c r="D835" s="9" t="s">
        <v>1550</v>
      </c>
      <c r="E835" s="12" t="n">
        <v>6500.5</v>
      </c>
      <c r="F835" s="56" t="n">
        <f aca="false">Text_Figures!$D$78</f>
        <v>6500.50205312</v>
      </c>
      <c r="G835" s="31" t="n">
        <f aca="false">IFERROR(F835-E835,"n/a")</f>
        <v>0.0020531199998004</v>
      </c>
      <c r="H835" s="42" t="n">
        <v>0.050000001</v>
      </c>
      <c r="I835" s="60" t="str">
        <f aca="false">IFERROR(IF(ABS(F835-E835)&lt;=H835,"PASS","FAIL"),"FAIL")</f>
        <v>PASS</v>
      </c>
    </row>
    <row r="836" customFormat="false" ht="15" hidden="false" customHeight="false" outlineLevel="0" collapsed="false">
      <c r="B836" s="61" t="n">
        <v>828</v>
      </c>
      <c r="C836" s="9" t="s">
        <v>1477</v>
      </c>
      <c r="D836" s="9" t="s">
        <v>1551</v>
      </c>
      <c r="E836" s="24" t="n">
        <v>391</v>
      </c>
      <c r="F836" s="55" t="n">
        <f aca="false">Text_Figures!$D$79</f>
        <v>390.996985854486</v>
      </c>
      <c r="G836" s="31" t="n">
        <f aca="false">IFERROR(F836-E836,"n/a")</f>
        <v>-0.00301414551438484</v>
      </c>
      <c r="H836" s="42" t="n">
        <v>0.005000001</v>
      </c>
      <c r="I836" s="60" t="str">
        <f aca="false">IFERROR(IF(ABS(F836-E836)&lt;=H836,"PASS","FAIL"),"FAIL")</f>
        <v>PASS</v>
      </c>
    </row>
    <row r="837" customFormat="false" ht="15" hidden="false" customHeight="false" outlineLevel="0" collapsed="false">
      <c r="B837" s="61" t="n">
        <v>829</v>
      </c>
      <c r="C837" s="9" t="s">
        <v>1477</v>
      </c>
      <c r="D837" s="9" t="s">
        <v>1552</v>
      </c>
      <c r="E837" s="24" t="n">
        <v>97.75</v>
      </c>
      <c r="F837" s="55" t="n">
        <f aca="false">Text_Figures!$D$80</f>
        <v>97.7492464636214</v>
      </c>
      <c r="G837" s="31" t="n">
        <f aca="false">IFERROR(F837-E837,"n/a")</f>
        <v>-0.000753536378596209</v>
      </c>
      <c r="H837" s="42" t="n">
        <v>0.005000001</v>
      </c>
      <c r="I837" s="60" t="str">
        <f aca="false">IFERROR(IF(ABS(F837-E837)&lt;=H837,"PASS","FAIL"),"FAIL")</f>
        <v>PASS</v>
      </c>
    </row>
    <row r="838" customFormat="false" ht="15" hidden="false" customHeight="false" outlineLevel="0" collapsed="false">
      <c r="B838" s="61" t="n">
        <v>830</v>
      </c>
      <c r="C838" s="9" t="s">
        <v>1477</v>
      </c>
      <c r="D838" s="9" t="s">
        <v>1553</v>
      </c>
      <c r="E838" s="24" t="n">
        <v>98.03</v>
      </c>
      <c r="F838" s="55" t="n">
        <f aca="false">Text_Figures!$D$81</f>
        <v>98.03</v>
      </c>
      <c r="G838" s="31" t="n">
        <f aca="false">IFERROR(F838-E838,"n/a")</f>
        <v>0</v>
      </c>
      <c r="H838" s="42" t="n">
        <v>0.005000001</v>
      </c>
      <c r="I838" s="60" t="str">
        <f aca="false">IFERROR(IF(ABS(F838-E838)&lt;=H838,"PASS","FAIL"),"FAIL")</f>
        <v>PASS</v>
      </c>
    </row>
    <row r="839" customFormat="false" ht="15" hidden="false" customHeight="false" outlineLevel="0" collapsed="false">
      <c r="B839" s="61" t="n">
        <v>831</v>
      </c>
      <c r="C839" s="9" t="s">
        <v>1477</v>
      </c>
      <c r="D839" s="9" t="s">
        <v>1554</v>
      </c>
      <c r="E839" s="11" t="n">
        <v>0.185</v>
      </c>
      <c r="F839" s="62" t="n">
        <f aca="false">Text_Figures!$D$82</f>
        <v>0.185</v>
      </c>
      <c r="G839" s="31" t="n">
        <f aca="false">IFERROR(F839-E839,"n/a")</f>
        <v>0</v>
      </c>
      <c r="H839" s="42" t="n">
        <v>0.000500001</v>
      </c>
      <c r="I839" s="60" t="str">
        <f aca="false">IFERROR(IF(ABS(F839-E839)&lt;=H839,"PASS","FAIL"),"FAIL")</f>
        <v>PASS</v>
      </c>
    </row>
    <row r="840" customFormat="false" ht="15" hidden="false" customHeight="false" outlineLevel="0" collapsed="false">
      <c r="B840" s="61" t="n">
        <v>832</v>
      </c>
      <c r="C840" s="9" t="s">
        <v>1477</v>
      </c>
      <c r="D840" s="9" t="s">
        <v>1555</v>
      </c>
      <c r="E840" s="24" t="n">
        <v>0.95</v>
      </c>
      <c r="F840" s="55" t="n">
        <f aca="false">Text_Figures!$D$83</f>
        <v>0.95</v>
      </c>
      <c r="G840" s="31" t="n">
        <f aca="false">IFERROR(F840-E840,"n/a")</f>
        <v>0</v>
      </c>
      <c r="H840" s="42" t="n">
        <v>0.005000001</v>
      </c>
      <c r="I840" s="60" t="str">
        <f aca="false">IFERROR(IF(ABS(F840-E840)&lt;=H840,"PASS","FAIL"),"FAIL")</f>
        <v>PASS</v>
      </c>
    </row>
    <row r="841" customFormat="false" ht="15" hidden="false" customHeight="false" outlineLevel="0" collapsed="false">
      <c r="B841" s="61" t="n">
        <v>833</v>
      </c>
      <c r="C841" s="9" t="s">
        <v>1477</v>
      </c>
      <c r="D841" s="9" t="s">
        <v>1556</v>
      </c>
      <c r="E841" s="24" t="n">
        <v>107.47</v>
      </c>
      <c r="F841" s="55" t="n">
        <f aca="false">Text_Figures!$D$84</f>
        <v>107.473684210526</v>
      </c>
      <c r="G841" s="31" t="n">
        <f aca="false">IFERROR(F841-E841,"n/a")</f>
        <v>0.00368421052631618</v>
      </c>
      <c r="H841" s="42" t="n">
        <v>0.005000001</v>
      </c>
      <c r="I841" s="60" t="str">
        <f aca="false">IFERROR(IF(ABS(F841-E841)&lt;=H841,"PASS","FAIL"),"FAIL")</f>
        <v>PASS</v>
      </c>
    </row>
    <row r="842" customFormat="false" ht="15" hidden="false" customHeight="false" outlineLevel="0" collapsed="false">
      <c r="B842" s="61" t="n">
        <v>834</v>
      </c>
      <c r="C842" s="9" t="s">
        <v>1477</v>
      </c>
      <c r="D842" s="9" t="s">
        <v>1557</v>
      </c>
      <c r="E842" s="24" t="n">
        <v>2.58</v>
      </c>
      <c r="F842" s="55" t="n">
        <f aca="false">Text_Figures!$D$85</f>
        <v>2.58260869565217</v>
      </c>
      <c r="G842" s="31" t="n">
        <f aca="false">IFERROR(F842-E842,"n/a")</f>
        <v>0.00260869565216915</v>
      </c>
      <c r="H842" s="42" t="n">
        <v>0.005000001</v>
      </c>
      <c r="I842" s="60" t="str">
        <f aca="false">IFERROR(IF(ABS(F842-E842)&lt;=H842,"PASS","FAIL"),"FAIL")</f>
        <v>PASS</v>
      </c>
    </row>
    <row r="843" customFormat="false" ht="15" hidden="false" customHeight="false" outlineLevel="0" collapsed="false">
      <c r="B843" s="61" t="n">
        <v>835</v>
      </c>
      <c r="C843" s="9" t="s">
        <v>1477</v>
      </c>
      <c r="D843" s="9" t="s">
        <v>1558</v>
      </c>
      <c r="E843" s="24" t="n">
        <v>66.75</v>
      </c>
      <c r="F843" s="55" t="n">
        <f aca="false">Text_Figures!$D$86</f>
        <v>66.74873248</v>
      </c>
      <c r="G843" s="31" t="n">
        <f aca="false">IFERROR(F843-E843,"n/a")</f>
        <v>-0.00126751999999897</v>
      </c>
      <c r="H843" s="42" t="n">
        <v>0.005000001</v>
      </c>
      <c r="I843" s="60" t="str">
        <f aca="false">IFERROR(IF(ABS(F843-E843)&lt;=H843,"PASS","FAIL"),"FAIL")</f>
        <v>PASS</v>
      </c>
    </row>
    <row r="844" customFormat="false" ht="15" hidden="false" customHeight="false" outlineLevel="0" collapsed="false">
      <c r="B844" s="61" t="n">
        <v>836</v>
      </c>
      <c r="C844" s="9" t="s">
        <v>1477</v>
      </c>
      <c r="D844" s="9" t="s">
        <v>1559</v>
      </c>
      <c r="E844" s="63" t="n">
        <v>0.944</v>
      </c>
      <c r="F844" s="58" t="n">
        <f aca="false">Text_Figures!$D$87</f>
        <v>0.944</v>
      </c>
      <c r="G844" s="31" t="n">
        <f aca="false">IFERROR(F844-E844,"n/a")</f>
        <v>0</v>
      </c>
      <c r="H844" s="42" t="n">
        <v>0.000500001</v>
      </c>
      <c r="I844" s="60" t="str">
        <f aca="false">IFERROR(IF(ABS(F844-E844)&lt;=H844,"PASS","FAIL"),"FAIL")</f>
        <v>PASS</v>
      </c>
    </row>
    <row r="845" customFormat="false" ht="15" hidden="false" customHeight="false" outlineLevel="0" collapsed="false">
      <c r="B845" s="61" t="n">
        <v>837</v>
      </c>
      <c r="C845" s="9" t="s">
        <v>1477</v>
      </c>
      <c r="D845" s="9" t="s">
        <v>1560</v>
      </c>
      <c r="E845" s="63" t="n">
        <v>1.011</v>
      </c>
      <c r="F845" s="58" t="n">
        <f aca="false">Text_Figures!$D$88</f>
        <v>1.01063829787234</v>
      </c>
      <c r="G845" s="31" t="n">
        <f aca="false">IFERROR(F845-E845,"n/a")</f>
        <v>-0.000361702127659402</v>
      </c>
      <c r="H845" s="42" t="n">
        <v>0.000500001</v>
      </c>
      <c r="I845" s="60" t="str">
        <f aca="false">IFERROR(IF(ABS(F845-E845)&lt;=H845,"PASS","FAIL"),"FAIL")</f>
        <v>PASS</v>
      </c>
    </row>
    <row r="846" customFormat="false" ht="15" hidden="false" customHeight="false" outlineLevel="0" collapsed="false">
      <c r="B846" s="61" t="n">
        <v>838</v>
      </c>
      <c r="C846" s="9" t="s">
        <v>1477</v>
      </c>
      <c r="D846" s="9" t="s">
        <v>1561</v>
      </c>
      <c r="E846" s="63" t="n">
        <v>1.025</v>
      </c>
      <c r="F846" s="58" t="n">
        <f aca="false">Text_Figures!$D$89</f>
        <v>1.025</v>
      </c>
      <c r="G846" s="31" t="n">
        <f aca="false">IFERROR(F846-E846,"n/a")</f>
        <v>0</v>
      </c>
      <c r="H846" s="42" t="n">
        <v>0.000500001</v>
      </c>
      <c r="I846" s="60" t="str">
        <f aca="false">IFERROR(IF(ABS(F846-E846)&lt;=H846,"PASS","FAIL"),"FAIL")</f>
        <v>PASS</v>
      </c>
    </row>
    <row r="847" customFormat="false" ht="15" hidden="false" customHeight="false" outlineLevel="0" collapsed="false">
      <c r="B847" s="61" t="n">
        <v>839</v>
      </c>
      <c r="C847" s="9" t="s">
        <v>1477</v>
      </c>
      <c r="D847" s="9" t="s">
        <v>1562</v>
      </c>
      <c r="E847" s="11" t="n">
        <v>0.425</v>
      </c>
      <c r="F847" s="62" t="n">
        <f aca="false">Text_Figures!$D$90</f>
        <v>0.425</v>
      </c>
      <c r="G847" s="31" t="n">
        <f aca="false">IFERROR(F847-E847,"n/a")</f>
        <v>0</v>
      </c>
      <c r="H847" s="42" t="n">
        <v>0.000500001</v>
      </c>
      <c r="I847" s="60" t="str">
        <f aca="false">IFERROR(IF(ABS(F847-E847)&lt;=H847,"PASS","FAIL"),"FAIL")</f>
        <v>PASS</v>
      </c>
    </row>
    <row r="848" customFormat="false" ht="15" hidden="false" customHeight="false" outlineLevel="0" collapsed="false">
      <c r="B848" s="61" t="n">
        <v>840</v>
      </c>
      <c r="C848" s="9" t="s">
        <v>1477</v>
      </c>
      <c r="D848" s="9" t="s">
        <v>1563</v>
      </c>
      <c r="E848" s="63" t="n">
        <v>1.121</v>
      </c>
      <c r="F848" s="58" t="n">
        <f aca="false">Text_Figures!$D$91</f>
        <v>1.12092391304348</v>
      </c>
      <c r="G848" s="31" t="n">
        <f aca="false">IFERROR(F848-E848,"n/a")</f>
        <v>-7.60869565217259E-005</v>
      </c>
      <c r="H848" s="42" t="n">
        <v>0.000500001</v>
      </c>
      <c r="I848" s="60" t="str">
        <f aca="false">IFERROR(IF(ABS(F848-E848)&lt;=H848,"PASS","FAIL"),"FAIL")</f>
        <v>PASS</v>
      </c>
    </row>
    <row r="849" customFormat="false" ht="15" hidden="false" customHeight="false" outlineLevel="0" collapsed="false">
      <c r="B849" s="61" t="n">
        <v>841</v>
      </c>
      <c r="C849" s="9" t="s">
        <v>1477</v>
      </c>
      <c r="D849" s="9" t="s">
        <v>1564</v>
      </c>
      <c r="E849" s="63" t="n">
        <v>1.025</v>
      </c>
      <c r="F849" s="58" t="n">
        <f aca="false">Text_Figures!$D$92</f>
        <v>1.025</v>
      </c>
      <c r="G849" s="31" t="n">
        <f aca="false">IFERROR(F849-E849,"n/a")</f>
        <v>0</v>
      </c>
      <c r="H849" s="42" t="n">
        <v>0.000500001</v>
      </c>
      <c r="I849" s="60" t="str">
        <f aca="false">IFERROR(IF(ABS(F849-E849)&lt;=H849,"PASS","FAIL"),"FAIL")</f>
        <v>PASS</v>
      </c>
    </row>
    <row r="850" customFormat="false" ht="15" hidden="false" customHeight="false" outlineLevel="0" collapsed="false">
      <c r="B850" s="61" t="n">
        <v>842</v>
      </c>
      <c r="C850" s="9" t="s">
        <v>1477</v>
      </c>
      <c r="D850" s="9" t="s">
        <v>1565</v>
      </c>
      <c r="E850" s="24" t="n">
        <v>4.15</v>
      </c>
      <c r="F850" s="55" t="n">
        <f aca="false">Text_Figures!$D$93</f>
        <v>4.15149928103303</v>
      </c>
      <c r="G850" s="31" t="n">
        <f aca="false">IFERROR(F850-E850,"n/a")</f>
        <v>0.00149928103302521</v>
      </c>
      <c r="H850" s="42" t="n">
        <v>0.005000001</v>
      </c>
      <c r="I850" s="60" t="str">
        <f aca="false">IFERROR(IF(ABS(F850-E850)&lt;=H850,"PASS","FAIL"),"FAIL")</f>
        <v>PASS</v>
      </c>
    </row>
    <row r="851" customFormat="false" ht="15" hidden="false" customHeight="false" outlineLevel="0" collapsed="false">
      <c r="B851" s="61" t="n">
        <v>843</v>
      </c>
      <c r="C851" s="9" t="s">
        <v>1477</v>
      </c>
      <c r="D851" s="9" t="s">
        <v>1566</v>
      </c>
      <c r="E851" s="24" t="n">
        <v>89.65</v>
      </c>
      <c r="F851" s="55" t="n">
        <f aca="false">Text_Figures!$D$94</f>
        <v>89.6521739130435</v>
      </c>
      <c r="G851" s="31" t="n">
        <f aca="false">IFERROR(F851-E851,"n/a")</f>
        <v>0.00217391304347814</v>
      </c>
      <c r="H851" s="42" t="n">
        <v>0.005000001</v>
      </c>
      <c r="I851" s="60" t="str">
        <f aca="false">IFERROR(IF(ABS(F851-E851)&lt;=H851,"PASS","FAIL"),"FAIL")</f>
        <v>PASS</v>
      </c>
    </row>
    <row r="852" customFormat="false" ht="15" hidden="false" customHeight="false" outlineLevel="0" collapsed="false">
      <c r="B852" s="61" t="n">
        <v>844</v>
      </c>
      <c r="C852" s="9" t="s">
        <v>1477</v>
      </c>
      <c r="D852" s="9" t="s">
        <v>1567</v>
      </c>
      <c r="E852" s="11" t="n">
        <v>0.213</v>
      </c>
      <c r="F852" s="62" t="n">
        <f aca="false">Text_Figures!$D$95</f>
        <v>0.213</v>
      </c>
      <c r="G852" s="31" t="n">
        <f aca="false">IFERROR(F852-E852,"n/a")</f>
        <v>0</v>
      </c>
      <c r="H852" s="42" t="n">
        <v>0.000500001</v>
      </c>
      <c r="I852" s="60" t="str">
        <f aca="false">IFERROR(IF(ABS(F852-E852)&lt;=H852,"PASS","FAIL"),"FAIL")</f>
        <v>PASS</v>
      </c>
    </row>
    <row r="853" customFormat="false" ht="15" hidden="false" customHeight="false" outlineLevel="0" collapsed="false">
      <c r="B853" s="61" t="n">
        <v>845</v>
      </c>
      <c r="C853" s="9" t="s">
        <v>1477</v>
      </c>
      <c r="D853" s="9" t="s">
        <v>1568</v>
      </c>
      <c r="E853" s="11" t="n">
        <v>0.359</v>
      </c>
      <c r="F853" s="62" t="n">
        <f aca="false">Text_Figures!$D$96</f>
        <v>0.359</v>
      </c>
      <c r="G853" s="31" t="n">
        <f aca="false">IFERROR(F853-E853,"n/a")</f>
        <v>0</v>
      </c>
      <c r="H853" s="42" t="n">
        <v>0.000500001</v>
      </c>
      <c r="I853" s="60" t="str">
        <f aca="false">IFERROR(IF(ABS(F853-E853)&lt;=H853,"PASS","FAIL"),"FAIL")</f>
        <v>PASS</v>
      </c>
    </row>
    <row r="854" customFormat="false" ht="15" hidden="false" customHeight="false" outlineLevel="0" collapsed="false">
      <c r="B854" s="61" t="n">
        <v>846</v>
      </c>
      <c r="C854" s="9" t="s">
        <v>1477</v>
      </c>
      <c r="D854" s="9" t="s">
        <v>1569</v>
      </c>
      <c r="E854" s="24" t="n">
        <v>40.25</v>
      </c>
      <c r="F854" s="55" t="n">
        <f aca="false">Text_Figures!$D$97</f>
        <v>40.2510164988064</v>
      </c>
      <c r="G854" s="31" t="n">
        <f aca="false">IFERROR(F854-E854,"n/a")</f>
        <v>0.00101649880639343</v>
      </c>
      <c r="H854" s="42" t="n">
        <v>0.005000001</v>
      </c>
      <c r="I854" s="60" t="str">
        <f aca="false">IFERROR(IF(ABS(F854-E854)&lt;=H854,"PASS","FAIL"),"FAIL")</f>
        <v>PASS</v>
      </c>
    </row>
    <row r="855" customFormat="false" ht="15" hidden="false" customHeight="false" outlineLevel="0" collapsed="false">
      <c r="B855" s="61" t="n">
        <v>847</v>
      </c>
      <c r="C855" s="9" t="s">
        <v>1477</v>
      </c>
      <c r="D855" s="9" t="s">
        <v>1570</v>
      </c>
      <c r="E855" s="24" t="n">
        <v>16.82</v>
      </c>
      <c r="F855" s="55" t="n">
        <f aca="false">Text_Figures!$D$98</f>
        <v>16.815678041963</v>
      </c>
      <c r="G855" s="31" t="n">
        <f aca="false">IFERROR(F855-E855,"n/a")</f>
        <v>-0.00432195803704616</v>
      </c>
      <c r="H855" s="42" t="n">
        <v>0.005000001</v>
      </c>
      <c r="I855" s="60" t="str">
        <f aca="false">IFERROR(IF(ABS(F855-E855)&lt;=H855,"PASS","FAIL"),"FAIL")</f>
        <v>PASS</v>
      </c>
    </row>
    <row r="856" customFormat="false" ht="15" hidden="false" customHeight="false" outlineLevel="0" collapsed="false">
      <c r="B856" s="61" t="n">
        <v>848</v>
      </c>
      <c r="C856" s="9" t="s">
        <v>1477</v>
      </c>
      <c r="D856" s="9" t="s">
        <v>1571</v>
      </c>
      <c r="E856" s="45" t="n">
        <v>0.0195</v>
      </c>
      <c r="F856" s="65" t="n">
        <f aca="false">Text_Figures!$D$99</f>
        <v>0.0195364237789596</v>
      </c>
      <c r="G856" s="31" t="n">
        <f aca="false">IFERROR(F856-E856,"n/a")</f>
        <v>3.6423778959644E-005</v>
      </c>
      <c r="H856" s="42" t="n">
        <v>5.0001E-005</v>
      </c>
      <c r="I856" s="60" t="str">
        <f aca="false">IFERROR(IF(ABS(F856-E856)&lt;=H856,"PASS","FAIL"),"FAIL")</f>
        <v>PASS</v>
      </c>
    </row>
    <row r="857" customFormat="false" ht="15" hidden="false" customHeight="false" outlineLevel="0" collapsed="false">
      <c r="B857" s="61" t="n">
        <v>849</v>
      </c>
      <c r="C857" s="9" t="s">
        <v>1477</v>
      </c>
      <c r="D857" s="9" t="s">
        <v>1572</v>
      </c>
      <c r="E857" s="24" t="n">
        <v>0.77</v>
      </c>
      <c r="F857" s="55" t="n">
        <f aca="false">Text_Figures!$D$100</f>
        <v>0.77</v>
      </c>
      <c r="G857" s="31" t="n">
        <f aca="false">IFERROR(F857-E857,"n/a")</f>
        <v>0</v>
      </c>
      <c r="H857" s="42" t="n">
        <v>0.005000001</v>
      </c>
      <c r="I857" s="60" t="str">
        <f aca="false">IFERROR(IF(ABS(F857-E857)&lt;=H857,"PASS","FAIL"),"FAIL")</f>
        <v>PASS</v>
      </c>
    </row>
    <row r="858" customFormat="false" ht="15" hidden="false" customHeight="false" outlineLevel="0" collapsed="false">
      <c r="B858" s="61" t="n">
        <v>850</v>
      </c>
      <c r="C858" s="9" t="s">
        <v>1477</v>
      </c>
      <c r="D858" s="9" t="s">
        <v>1573</v>
      </c>
      <c r="E858" s="63" t="n">
        <v>1.088</v>
      </c>
      <c r="F858" s="58" t="n">
        <f aca="false">Text_Figures!$D$101</f>
        <v>1.088</v>
      </c>
      <c r="G858" s="31" t="n">
        <f aca="false">IFERROR(F858-E858,"n/a")</f>
        <v>0</v>
      </c>
      <c r="H858" s="42" t="n">
        <v>0.000500001</v>
      </c>
      <c r="I858" s="60" t="str">
        <f aca="false">IFERROR(IF(ABS(F858-E858)&lt;=H858,"PASS","FAIL"),"FAIL")</f>
        <v>PASS</v>
      </c>
    </row>
  </sheetData>
  <mergeCells count="4">
    <mergeCell ref="C4:D4"/>
    <mergeCell ref="C5:D5"/>
    <mergeCell ref="C6:D6"/>
    <mergeCell ref="C7:D7"/>
  </mergeCells>
  <conditionalFormatting sqref="I9:I858">
    <cfRule type="cellIs" priority="2" operator="equal" aboveAverage="0" equalAverage="0" bottom="0" percent="0" rank="0" text="" dxfId="0">
      <formula>"FAIL"</formula>
    </cfRule>
    <cfRule type="cellIs" priority="3" operator="equal" aboveAverage="0" equalAverage="0" bottom="0" percent="0" rank="0" text="" dxfId="1">
      <formula>"PASS"</formula>
    </cfRule>
  </conditionalFormatting>
  <conditionalFormatting sqref="E4">
    <cfRule type="cellIs" priority="4" operator="equal" aboveAverage="0" equalAverage="0" bottom="0" percent="0" rank="0" text="" dxfId="0">
      <formula>"FAIL"</formula>
    </cfRule>
    <cfRule type="cellIs" priority="5" operator="equal" aboveAverage="0" equalAverage="0" bottom="0" percent="0" rank="0" text="" dxfId="1">
      <formula>"PASS"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2026-09-25T09:01:16Z</dcterms:created>
  <dc:creator>openpyxl</dc:creator>
  <dc:description/>
  <dc:language>en-US</dc:language>
  <cp:lastModifiedBy/>
  <dcterms:modified xsi:type="dcterms:W3CDTF">2026-09-25T09:01:17Z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