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Rent roll" sheetId="3" state="visible" r:id="rId5"/>
    <sheet name="Income account" sheetId="4" state="visible" r:id="rId6"/>
    <sheet name="The calendar, priced" sheetId="5" state="visible" r:id="rId7"/>
    <sheet name="Checks" sheetId="6" state="visible" r:id="rId8"/>
  </sheets>
  <definedNames>
    <definedName function="false" hidden="false" name="AcqPct" vbProcedure="false">Inputs!$B$9</definedName>
    <definedName function="false" hidden="false" name="AllIn" vbProcedure="false">Inputs!$B$12</definedName>
    <definedName function="false" hidden="false" name="AMFee" vbProcedure="false">Inputs!$B$38</definedName>
    <definedName function="false" hidden="false" name="AMPct" vbProcedure="false">Inputs!$B$37</definedName>
    <definedName function="false" hidden="false" name="AMTotal" vbProcedure="false">Inputs!$B$40</definedName>
    <definedName function="false" hidden="false" name="Area" vbProcedure="false">Inputs!$B$7</definedName>
    <definedName function="false" hidden="false" name="AreaTot" vbProcedure="false">'Rent roll'!$B$18</definedName>
    <definedName function="false" hidden="false" name="ArrFee" vbProcedure="false">Inputs!$B$32</definedName>
    <definedName function="false" hidden="false" name="ArrPct" vbProcedure="false">Inputs!$B$31</definedName>
    <definedName function="false" hidden="false" name="CapexAmt" vbProcedure="false">Inputs!$C$49:$C$51</definedName>
    <definedName function="false" hidden="false" name="CapexTot" vbProcedure="false">Inputs!$B$11</definedName>
    <definedName function="false" hidden="false" name="CapexYr" vbProcedure="false">Inputs!$B$49:$B$51</definedName>
    <definedName function="false" hidden="false" name="CatchUp" vbProcedure="false">Inputs!$B$43</definedName>
    <definedName function="false" hidden="false" name="Debt" vbProcedure="false">Inputs!$B$28</definedName>
    <definedName function="false" hidden="false" name="DebtRate" vbProcedure="false">Inputs!$B$29</definedName>
    <definedName function="false" hidden="false" name="Equity0" vbProcedure="false">Inputs!$B$33</definedName>
    <definedName function="false" hidden="false" name="ErvTot" vbProcedure="false">'Rent roll'!$D$18</definedName>
    <definedName function="false" hidden="false" name="ExitYld" vbProcedure="false">Inputs!$B$21</definedName>
    <definedName function="false" hidden="false" name="GearAlt" vbProcedure="false">Inputs!$B$44</definedName>
    <definedName function="false" hidden="false" name="Gearing" vbProcedure="false">Inputs!$B$27</definedName>
    <definedName function="false" hidden="false" name="Growth" vbProcedure="false">Inputs!$B$16</definedName>
    <definedName function="false" hidden="false" name="Hold" vbProcedure="false">Inputs!$B$39</definedName>
    <definedName function="false" hidden="false" name="Interest" vbProcedure="false">Inputs!$B$30</definedName>
    <definedName function="false" hidden="false" name="LetFee" vbProcedure="false">Inputs!$B$18</definedName>
    <definedName function="false" hidden="false" name="LetFrac" vbProcedure="false">Inputs!$B$23</definedName>
    <definedName function="false" hidden="false" name="MgmtFee" vbProcedure="false">Inputs!$B$20</definedName>
    <definedName function="false" hidden="false" name="NonRec" vbProcedure="false">Inputs!$B$19</definedName>
    <definedName function="false" hidden="false" name="PassRent" vbProcedure="false">'Rent roll'!$C$18</definedName>
    <definedName function="false" hidden="false" name="Pref" vbProcedure="false">Inputs!$B$41</definedName>
    <definedName function="false" hidden="false" name="Price" vbProcedure="false">Inputs!$B$8</definedName>
    <definedName function="false" hidden="false" name="Promote" vbProcedure="false">Inputs!$B$42</definedName>
    <definedName function="false" hidden="false" name="SaleCost" vbProcedure="false">Inputs!$B$22</definedName>
    <definedName function="false" hidden="false" name="StabNOI" vbProcedure="false">'Rent roll'!$C$25</definedName>
    <definedName function="false" hidden="false" name="TotCost" vbProcedure="false">Inputs!$B$10</definedName>
    <definedName function="false" hidden="false" name="VoidMth" vbProcedure="false">Inputs!$B$17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<sst xmlns="http://schemas.openxmlformats.org/spreadsheetml/2006/main" count="292" uniqueCount="217">
  <si>
    <t xml:space="preserve">Commercial Real Estate Investing - The Income Account</t>
  </si>
  <si>
    <t xml:space="preserve">Companion workbook 1, by Julian R. Sterling</t>
  </si>
  <si>
    <t xml:space="preserve">What this workbook does</t>
  </si>
  <si>
    <t xml:space="preserve">It builds the eleven-year income account of Bracken Wharf from the rent roll and the void convention. Every figure on every sheet is a live formula over the yellow inputs: change an expiry year, a rental value or the void, and the whole account moves with it.</t>
  </si>
  <si>
    <t xml:space="preserve">The void convention, which drives everything</t>
  </si>
  <si>
    <t xml:space="preserve">A lease expiring at the end of year e pays its old rent to year e, three twelfths of the new rent in year e+1, and the whole of the new rent thereafter. The new rent is the greater of the passing rent and the unit's rental value indexed to year e. The letting fee is fifteen per cent of that new rent, charged in the year the letting completes. The two units empty at acquisition follow the same rule from the day of purchase.</t>
  </si>
  <si>
    <t xml:space="preserve">The first experiment to run</t>
  </si>
  <si>
    <t xml:space="preserve">On the Rent roll sheet, move Kilmory Print's expiry from year 3 to year 6. The rent line stops falling in year four and falls in year seven instead, the letting fee moves with it, and the net income of every year after that changes. Nothing was retyped.</t>
  </si>
  <si>
    <t xml:space="preserve">The second</t>
  </si>
  <si>
    <t xml:space="preserve">Set the void to 0 months on the Inputs sheet. The share collected in the year after an expiry goes to one, the rent line stops dipping, and the estate looks like the one in the brochure. Then set it back to nine, which is what industrial and office re-lettings take.</t>
  </si>
  <si>
    <t xml:space="preserve">On the checks</t>
  </si>
  <si>
    <t xml:space="preserve">The Checks sheet reproduces by formula each figure printed in the book. Column C is typed from the page; column D is computed here. If a check says FAIL, the workbook is wrong, not the book.</t>
  </si>
  <si>
    <t xml:space="preserve">Inputs, and what is derived from them</t>
  </si>
  <si>
    <t xml:space="preserve">Blue figures on a yellow ground are inputs. Everything else, on every sheet, is a live formula.</t>
  </si>
  <si>
    <t xml:space="preserve">The asset and the purchase</t>
  </si>
  <si>
    <t xml:space="preserve">Lettable area, square metres</t>
  </si>
  <si>
    <t xml:space="preserve">Purchase price</t>
  </si>
  <si>
    <t xml:space="preserve">Acquisition costs, share of the price</t>
  </si>
  <si>
    <t xml:space="preserve">Total cost = price x (1 + acquisition costs)</t>
  </si>
  <si>
    <t xml:space="preserve">the price of revenue, not the headline price</t>
  </si>
  <si>
    <t xml:space="preserve">Capital programme, the three years below</t>
  </si>
  <si>
    <t xml:space="preserve">All-in capital = total cost + capital programme</t>
  </si>
  <si>
    <t xml:space="preserve">the capital an exit yield has to be compared against</t>
  </si>
  <si>
    <t xml:space="preserve">The seven market assumptions, and there are no others</t>
  </si>
  <si>
    <t xml:space="preserve">Rental value growth, a year</t>
  </si>
  <si>
    <t xml:space="preserve">Void between two leases, months</t>
  </si>
  <si>
    <t xml:space="preserve">applied without exception, including the two units empty at acquisition</t>
  </si>
  <si>
    <t xml:space="preserve">Letting fee, share of the new annual rent</t>
  </si>
  <si>
    <t xml:space="preserve">charged in the year the letting completes</t>
  </si>
  <si>
    <t xml:space="preserve">Non-recoverable costs, share of passing rent</t>
  </si>
  <si>
    <t xml:space="preserve">Management fee, share of passing rent</t>
  </si>
  <si>
    <t xml:space="preserve">Exit yield, central case</t>
  </si>
  <si>
    <t xml:space="preserve">Cost of sale, share of the gross price</t>
  </si>
  <si>
    <t xml:space="preserve">Share of a year collected after a void = (12 - void) / 12</t>
  </si>
  <si>
    <t xml:space="preserve">three twelfths: the year after an expiry collects a quarter of the new rent</t>
  </si>
  <si>
    <t xml:space="preserve">The debt</t>
  </si>
  <si>
    <t xml:space="preserve">Loan to value, on the PRICE and not on the cost</t>
  </si>
  <si>
    <t xml:space="preserve">Debt = price x loan to value</t>
  </si>
  <si>
    <t xml:space="preserve">Fixed rate, interest only, repaid at exit</t>
  </si>
  <si>
    <t xml:space="preserve">Interest each year = debt x rate</t>
  </si>
  <si>
    <t xml:space="preserve">Arrangement fee, share of the debt</t>
  </si>
  <si>
    <t xml:space="preserve">Arrangement fee = debt x share</t>
  </si>
  <si>
    <t xml:space="preserve">Equity at completion = total cost + arrangement fee - debt</t>
  </si>
  <si>
    <t xml:space="preserve">The manager</t>
  </si>
  <si>
    <t xml:space="preserve">Asset management fee, share of total cost, a year</t>
  </si>
  <si>
    <t xml:space="preserve">Asset management fee each year = total cost x share</t>
  </si>
  <si>
    <t xml:space="preserve">Hold period, years</t>
  </si>
  <si>
    <t xml:space="preserve">Asset management fees over the hold</t>
  </si>
  <si>
    <t xml:space="preserve">Preferred return, on unreturned capital</t>
  </si>
  <si>
    <t xml:space="preserve">Promote, above the preferred return</t>
  </si>
  <si>
    <t xml:space="preserve">Catch-up multiple = promote / (1 - promote)</t>
  </si>
  <si>
    <t xml:space="preserve">the manager's share of the preferred return once the catch-up is complete</t>
  </si>
  <si>
    <t xml:space="preserve">Second gearing, for the convention test</t>
  </si>
  <si>
    <t xml:space="preserve">the 35 per cent case of chapter 13</t>
  </si>
  <si>
    <t xml:space="preserve">The capital programme</t>
  </si>
  <si>
    <t xml:space="preserve">Year</t>
  </si>
  <si>
    <t xml:space="preserve">What it pays for</t>
  </si>
  <si>
    <t xml:space="preserve">Phase 1</t>
  </si>
  <si>
    <t xml:space="preserve">Refurbishment of Units 9 and 12</t>
  </si>
  <si>
    <t xml:space="preserve">Phase 2</t>
  </si>
  <si>
    <t xml:space="preserve">Estate roof and service yard</t>
  </si>
  <si>
    <t xml:space="preserve">Phase 3</t>
  </si>
  <si>
    <t xml:space="preserve">Second phase of the refurbishment</t>
  </si>
  <si>
    <t xml:space="preserve">Total</t>
  </si>
  <si>
    <t xml:space="preserve">The rent roll at acquisition</t>
  </si>
  <si>
    <t xml:space="preserve">Ten units. The re-let rent is derived from the rule, not typed.</t>
  </si>
  <si>
    <t xml:space="preserve">A lease expiring at the end of year e is re-let at the greater of the passing rent and the unit's rental value indexed to year e. A unit empty at acquisition is let in year one at its rental value indexed one year. Change an expiry year or a rental value and every line on every sheet moves.</t>
  </si>
  <si>
    <t xml:space="preserve">Unit</t>
  </si>
  <si>
    <t xml:space="preserve">Area (m2)</t>
  </si>
  <si>
    <t xml:space="preserve">Passing rent</t>
  </si>
  <si>
    <t xml:space="preserve">Rental value</t>
  </si>
  <si>
    <t xml:space="preserve">Lease expires end of year</t>
  </si>
  <si>
    <t xml:space="preserve">Re-let in year</t>
  </si>
  <si>
    <t xml:space="preserve">Re-let rent</t>
  </si>
  <si>
    <t xml:space="preserve">Letting fee</t>
  </si>
  <si>
    <t xml:space="preserve">Ardgour Logistics</t>
  </si>
  <si>
    <t xml:space="preserve">Kilmory Print</t>
  </si>
  <si>
    <t xml:space="preserve">Tannoch Foods</t>
  </si>
  <si>
    <t xml:space="preserve">Struan Instruments</t>
  </si>
  <si>
    <t xml:space="preserve">Balvaig Textiles</t>
  </si>
  <si>
    <t xml:space="preserve">Corrour Systems</t>
  </si>
  <si>
    <t xml:space="preserve">Dunardry Media</t>
  </si>
  <si>
    <t xml:space="preserve">Eilanreach Labs</t>
  </si>
  <si>
    <t xml:space="preserve">Unit 9 (empty at acquisition)</t>
  </si>
  <si>
    <t xml:space="preserve">Unit 12 (empty at acquisition)</t>
  </si>
  <si>
    <t xml:space="preserve">TOTAL</t>
  </si>
  <si>
    <t xml:space="preserve">What the roll says before a single formula is run</t>
  </si>
  <si>
    <t xml:space="preserve">Vacant area, share of the estate</t>
  </si>
  <si>
    <t xml:space="preserve">two units, 2,920 square metres</t>
  </si>
  <si>
    <t xml:space="preserve">Vacant rental value, share of the estate</t>
  </si>
  <si>
    <t xml:space="preserve">Reversion, rental value over passing rent</t>
  </si>
  <si>
    <t xml:space="preserve">Stabilised net income = rental value net of costs and management</t>
  </si>
  <si>
    <t xml:space="preserve">the only income an exit yield can be compared with</t>
  </si>
  <si>
    <t xml:space="preserve">The income account, eleven years</t>
  </si>
  <si>
    <t xml:space="preserve">Built from the rent roll and the void convention. Nothing on this sheet is typed.</t>
  </si>
  <si>
    <t xml:space="preserve">A lease expiring at the end of year e pays its old rent to year e, three twelfths of the new rent in year e+1, and the whole of the new rent after that. Year eleven is here because the sale is priced on it.</t>
  </si>
  <si>
    <t xml:space="preserve">What each unit pays, year by year</t>
  </si>
  <si>
    <t xml:space="preserve">Total rent</t>
  </si>
  <si>
    <t xml:space="preserve">The letting fees, unit by unit</t>
  </si>
  <si>
    <t xml:space="preserve">Total letting fees</t>
  </si>
  <si>
    <t xml:space="preserve">Letting fees over the eleven years</t>
  </si>
  <si>
    <t xml:space="preserve">The income account</t>
  </si>
  <si>
    <t xml:space="preserve">Rent received</t>
  </si>
  <si>
    <t xml:space="preserve">Non-recoverable costs</t>
  </si>
  <si>
    <t xml:space="preserve">Management</t>
  </si>
  <si>
    <t xml:space="preserve">Net operating income</t>
  </si>
  <si>
    <t xml:space="preserve">Letting fees</t>
  </si>
  <si>
    <t xml:space="preserve">Capital expenditure</t>
  </si>
  <si>
    <t xml:space="preserve">Net income from the estate</t>
  </si>
  <si>
    <t xml:space="preserve">The rent line falls in years three, four, six, eight and ten. Those are the years after an expiry, and the fall is the nine-month void, not a fall in rents.</t>
  </si>
  <si>
    <t xml:space="preserve">The calendar, priced</t>
  </si>
  <si>
    <t xml:space="preserve">Chapters 2, 4 and 16. The rent roll read one division at a time, and every re-letting inside the hold costed in cash.</t>
  </si>
  <si>
    <t xml:space="preserve">Nothing on this sheet is typed: it reads the rent roll and the income account. Move an expiry year and every line moves.</t>
  </si>
  <si>
    <t xml:space="preserve">Every unit, one division at a time</t>
  </si>
  <si>
    <t xml:space="preserve">Area, m2</t>
  </si>
  <si>
    <t xml:space="preserve">Passing rent per m2</t>
  </si>
  <si>
    <t xml:space="preserve">Rental value per m2</t>
  </si>
  <si>
    <t xml:space="preserve">Reversion over passing</t>
  </si>
  <si>
    <t xml:space="preserve">Share of passing rent</t>
  </si>
  <si>
    <t xml:space="preserve">Weighted average unexpired term, years, weighted by passing rent</t>
  </si>
  <si>
    <t xml:space="preserve">Reversion over passing, the whole estate</t>
  </si>
  <si>
    <t xml:space="preserve">Share of the reversion sitting in the empty units</t>
  </si>
  <si>
    <t xml:space="preserve">Reversion on the let units, over their own passing rent</t>
  </si>
  <si>
    <t xml:space="preserve">Every re-letting inside the hold, costed in cash</t>
  </si>
  <si>
    <t xml:space="preserve">New annual rent</t>
  </si>
  <si>
    <t xml:space="preserve">Void: rent forgone</t>
  </si>
  <si>
    <t xml:space="preserve">Cost of the re-letting</t>
  </si>
  <si>
    <t xml:space="preserve">Inside the hold (1 = yes)</t>
  </si>
  <si>
    <t xml:space="preserve">Inside the hold, total</t>
  </si>
  <si>
    <t xml:space="preserve">Rent collected over the hold</t>
  </si>
  <si>
    <t xml:space="preserve">Net income over the hold</t>
  </si>
  <si>
    <t xml:space="preserve">The calendar, as a share of the rent collected</t>
  </si>
  <si>
    <t xml:space="preserve">Average cost of one re-letting</t>
  </si>
  <si>
    <t xml:space="preserve">Average new rent</t>
  </si>
  <si>
    <t xml:space="preserve">One re-letting costs this share of the new rent: the void plus the fee</t>
  </si>
  <si>
    <t xml:space="preserve">Capital programme plus the calendar</t>
  </si>
  <si>
    <t xml:space="preserve">The same, as a share of the price</t>
  </si>
  <si>
    <t xml:space="preserve">The void appears in no table of the income account: it is rent that was never billed. This sheet prices it, re-letting by re-letting.</t>
  </si>
  <si>
    <t xml:space="preserve">Checks</t>
  </si>
  <si>
    <t xml:space="preserve">Each line sets a figure printed in the book beside the figure this workbook computes.</t>
  </si>
  <si>
    <t xml:space="preserve">Column C is typed from the page. Column D is a live formula over the inputs. If they disagree the check says FAIL, and it is the workbook that is wrong.</t>
  </si>
  <si>
    <t xml:space="preserve">Ch.</t>
  </si>
  <si>
    <t xml:space="preserve">Figure</t>
  </si>
  <si>
    <t xml:space="preserve">Printed</t>
  </si>
  <si>
    <t xml:space="preserve">Workbook</t>
  </si>
  <si>
    <t xml:space="preserve">Difference</t>
  </si>
  <si>
    <t xml:space="preserve">Result</t>
  </si>
  <si>
    <t xml:space="preserve">2</t>
  </si>
  <si>
    <t xml:space="preserve">Passing rent at acquisition</t>
  </si>
  <si>
    <t xml:space="preserve">Estimated rental value of the estate</t>
  </si>
  <si>
    <t xml:space="preserve">3</t>
  </si>
  <si>
    <t xml:space="preserve">Total cost = price and acquisition costs</t>
  </si>
  <si>
    <t xml:space="preserve">Capital programme</t>
  </si>
  <si>
    <t xml:space="preserve">All-in capital</t>
  </si>
  <si>
    <t xml:space="preserve">Debt, 55 per cent of the price</t>
  </si>
  <si>
    <t xml:space="preserve">Arrangement fee</t>
  </si>
  <si>
    <t xml:space="preserve">Equity at completion</t>
  </si>
  <si>
    <t xml:space="preserve">4</t>
  </si>
  <si>
    <t xml:space="preserve">Share of a year collected after a nine-month void</t>
  </si>
  <si>
    <t xml:space="preserve">Re-let rent, Ardgour Logistics, expiry year 7</t>
  </si>
  <si>
    <t xml:space="preserve">Re-let rent, Kilmory Print, expiry year 3</t>
  </si>
  <si>
    <t xml:space="preserve">Re-let rent, Tannoch Foods, expiry year 9</t>
  </si>
  <si>
    <t xml:space="preserve">Re-let rent, Struan Instruments, expiry year 5</t>
  </si>
  <si>
    <t xml:space="preserve">Re-let rent, Balvaig Textiles, expiry year 2</t>
  </si>
  <si>
    <t xml:space="preserve">Re-let rent, Corrour Systems, expiry year 11</t>
  </si>
  <si>
    <t xml:space="preserve">Re-let rent, Dunardry Media, expiry year 4</t>
  </si>
  <si>
    <t xml:space="preserve">Re-let rent, Eilanreach Labs, expiry year 8</t>
  </si>
  <si>
    <t xml:space="preserve">Re-let rent, Unit 9, empty at acquisition</t>
  </si>
  <si>
    <t xml:space="preserve">Re-let rent, Unit 12, empty at acquisition</t>
  </si>
  <si>
    <t xml:space="preserve">Rent, year 1</t>
  </si>
  <si>
    <t xml:space="preserve">Rent, year 2</t>
  </si>
  <si>
    <t xml:space="preserve">Rent, year 3, the year after the Kilmory expiry</t>
  </si>
  <si>
    <t xml:space="preserve">Rent, year 4, a void year</t>
  </si>
  <si>
    <t xml:space="preserve">Rent, year 5</t>
  </si>
  <si>
    <t xml:space="preserve">Rent, year 6, a void year</t>
  </si>
  <si>
    <t xml:space="preserve">Rent, year 7</t>
  </si>
  <si>
    <t xml:space="preserve">Rent, year 8, a void year</t>
  </si>
  <si>
    <t xml:space="preserve">Rent, year 9</t>
  </si>
  <si>
    <t xml:space="preserve">Rent, year 10, a void year</t>
  </si>
  <si>
    <t xml:space="preserve">Rent, year 11</t>
  </si>
  <si>
    <t xml:space="preserve">Non-recoverable costs, year 1</t>
  </si>
  <si>
    <t xml:space="preserve">Non-recoverable costs, year 11</t>
  </si>
  <si>
    <t xml:space="preserve">Management, year 1</t>
  </si>
  <si>
    <t xml:space="preserve">Management, year 11</t>
  </si>
  <si>
    <t xml:space="preserve">Letting fees, year 1</t>
  </si>
  <si>
    <t xml:space="preserve">Letting fees, year 3</t>
  </si>
  <si>
    <t xml:space="preserve">Letting fees, year 8, the largest</t>
  </si>
  <si>
    <t xml:space="preserve">Letting fees, year 11, none</t>
  </si>
  <si>
    <t xml:space="preserve">Letting fees, the eleven printed years added up</t>
  </si>
  <si>
    <t xml:space="preserve">Capital expenditure, year 1</t>
  </si>
  <si>
    <t xml:space="preserve">Capital expenditure, year 3</t>
  </si>
  <si>
    <t xml:space="preserve">Capital expenditure, year 4, none</t>
  </si>
  <si>
    <t xml:space="preserve">Net income, year 1, negative</t>
  </si>
  <si>
    <t xml:space="preserve">Net income, year 2</t>
  </si>
  <si>
    <t xml:space="preserve">Net income, year 3</t>
  </si>
  <si>
    <t xml:space="preserve">Net income, year 4</t>
  </si>
  <si>
    <t xml:space="preserve">Net income, year 8, a void year</t>
  </si>
  <si>
    <t xml:space="preserve">Net income, year 10</t>
  </si>
  <si>
    <t xml:space="preserve">5</t>
  </si>
  <si>
    <t xml:space="preserve">Net operating income of year 11, the base of the sale</t>
  </si>
  <si>
    <t xml:space="preserve">Weighted average unexpired term, years</t>
  </si>
  <si>
    <t xml:space="preserve">Share of the reversion in the two empty units</t>
  </si>
  <si>
    <t xml:space="preserve">Reversion on the let units over their passing rent</t>
  </si>
  <si>
    <t xml:space="preserve">Reversion, Balvaig Textiles</t>
  </si>
  <si>
    <t xml:space="preserve">Share of passing rent, Ardgour Logistics</t>
  </si>
  <si>
    <t xml:space="preserve">Rent collected over the ten-year hold (the book adds the ten rounded rents)</t>
  </si>
  <si>
    <t xml:space="preserve">Net income over the ten-year hold</t>
  </si>
  <si>
    <t xml:space="preserve">Rent never billed: nine months on each of nine re-lettings</t>
  </si>
  <si>
    <t xml:space="preserve">16</t>
  </si>
  <si>
    <t xml:space="preserve">Letting fees on the nine re-lettings</t>
  </si>
  <si>
    <t xml:space="preserve">The calendar, void and fees together</t>
  </si>
  <si>
    <t xml:space="preserve">The Ardgour re-letting, in cash</t>
  </si>
  <si>
    <t xml:space="preserve">The calendar as a share of the rent collected</t>
  </si>
  <si>
    <t xml:space="preserve">Capital programme plus the calendar, share of the price</t>
  </si>
  <si>
    <t xml:space="preserve">Checks that pass</t>
  </si>
  <si>
    <t xml:space="preserve">Checks that fail</t>
  </si>
  <si>
    <t xml:space="preserve">All checks</t>
  </si>
</sst>
</file>

<file path=xl/styles.xml><?xml version="1.0" encoding="utf-8"?>
<styleSheet xmlns="http://schemas.openxmlformats.org/spreadsheetml/2006/main">
  <numFmts count="13">
    <numFmt numFmtId="164" formatCode="General"/>
    <numFmt numFmtId="165" formatCode="#,##0"/>
    <numFmt numFmtId="166" formatCode="#,##0;\-#,##0"/>
    <numFmt numFmtId="167" formatCode="0.00%;\-0.00%"/>
    <numFmt numFmtId="168" formatCode="0"/>
    <numFmt numFmtId="169" formatCode="0.0%;\-0.0%"/>
    <numFmt numFmtId="170" formatCode="0.0000"/>
    <numFmt numFmtId="171" formatCode="#,##0.00;\-#,##0.00"/>
    <numFmt numFmtId="172" formatCode="0.0000%;\-0.0000%"/>
    <numFmt numFmtId="173" formatCode="0.00"/>
    <numFmt numFmtId="174" formatCode="#,##0.00"/>
    <numFmt numFmtId="175" formatCode="0.00000000"/>
    <numFmt numFmtId="176" formatCode="@"/>
  </numFmts>
  <fonts count="13">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1"/>
      <color rgb="FF1A1A1A"/>
      <name val="Calibri"/>
      <family val="0"/>
      <charset val="1"/>
    </font>
    <font>
      <b val="true"/>
      <sz val="10"/>
      <color rgb="FFFFFFFF"/>
      <name val="Calibri"/>
      <family val="0"/>
      <charset val="1"/>
    </font>
    <font>
      <i val="true"/>
      <sz val="9"/>
      <color rgb="FF5A6A70"/>
      <name val="Calibri"/>
      <family val="0"/>
      <charset val="1"/>
    </font>
    <font>
      <sz val="10"/>
      <color rgb="FF5A6A70"/>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64" fontId="10" fillId="3" borderId="3" xfId="0" applyFont="true" applyBorder="true" applyAlignment="true" applyProtection="false">
      <alignment horizontal="left" vertical="center" textRotation="0" wrapText="true" indent="0" shrinkToFit="false"/>
      <protection locked="true" hidden="false"/>
    </xf>
    <xf numFmtId="164" fontId="10" fillId="3" borderId="3" xfId="0" applyFont="true" applyBorder="true" applyAlignment="true" applyProtection="false">
      <alignment horizontal="right" vertical="center"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4" fontId="9" fillId="0" borderId="2" xfId="0" applyFont="true" applyBorder="true" applyAlignment="false" applyProtection="false">
      <alignment horizontal="general" vertical="bottom" textRotation="0" wrapText="false" indent="0" shrinkToFit="false"/>
      <protection locked="true" hidden="false"/>
    </xf>
    <xf numFmtId="164" fontId="10" fillId="3" borderId="2" xfId="0" applyFont="true" applyBorder="true" applyAlignment="true" applyProtection="false">
      <alignment horizontal="right"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left" vertical="center" textRotation="0" wrapText="true" indent="0" shrinkToFit="false"/>
      <protection locked="true" hidden="false"/>
    </xf>
    <xf numFmtId="164" fontId="10" fillId="3" borderId="0" xfId="0" applyFont="true" applyBorder="false" applyAlignment="true" applyProtection="false">
      <alignment horizontal="right" vertical="center" textRotation="0" wrapText="tru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2" fontId="9"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4" fontId="9"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6" fontId="9"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75" fontId="7" fillId="4" borderId="0" xfId="0" applyFont="true" applyBorder="false" applyAlignment="false" applyProtection="false">
      <alignment horizontal="general" vertical="bottom" textRotation="0" wrapText="false" indent="0" shrinkToFit="false"/>
      <protection locked="true" hidden="false"/>
    </xf>
    <xf numFmtId="176" fontId="9" fillId="4" borderId="0" xfId="0" applyFont="true" applyBorder="false" applyAlignment="false" applyProtection="false">
      <alignment horizontal="general" vertical="bottom" textRotation="0" wrapText="false" indent="0" shrinkToFit="false"/>
      <protection locked="true" hidden="false"/>
    </xf>
    <xf numFmtId="172" fontId="7"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45" hidden="false" customHeight="true" outlineLevel="0" collapsed="false">
      <c r="A7" s="5" t="s">
        <v>3</v>
      </c>
    </row>
    <row r="9" customFormat="false" ht="15" hidden="false" customHeight="false" outlineLevel="0" collapsed="false">
      <c r="A9" s="4" t="s">
        <v>4</v>
      </c>
    </row>
    <row r="11" customFormat="false" ht="75" hidden="false" customHeight="true" outlineLevel="0" collapsed="false">
      <c r="A11" s="5" t="s">
        <v>5</v>
      </c>
    </row>
    <row r="13" customFormat="false" ht="15" hidden="false" customHeight="false" outlineLevel="0" collapsed="false">
      <c r="A13" s="4" t="s">
        <v>6</v>
      </c>
    </row>
    <row r="15" customFormat="false" ht="45" hidden="false" customHeight="true" outlineLevel="0" collapsed="false">
      <c r="A15" s="5" t="s">
        <v>7</v>
      </c>
    </row>
    <row r="17" customFormat="false" ht="15" hidden="false" customHeight="false" outlineLevel="0" collapsed="false">
      <c r="A17" s="4" t="s">
        <v>8</v>
      </c>
    </row>
    <row r="19" customFormat="false" ht="45" hidden="false" customHeight="true" outlineLevel="0" collapsed="false">
      <c r="A19" s="5" t="s">
        <v>9</v>
      </c>
    </row>
    <row r="21" customFormat="false" ht="15" hidden="false" customHeight="false" outlineLevel="0" collapsed="false">
      <c r="A21" s="4" t="s">
        <v>10</v>
      </c>
    </row>
    <row r="23" customFormat="false" ht="30" hidden="false" customHeight="true" outlineLevel="0" collapsed="false">
      <c r="A23" s="5"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2" min="2" style="0" width="18"/>
    <col collapsed="false" customWidth="true" hidden="false" outlineLevel="0" max="3" min="3" style="0" width="3"/>
    <col collapsed="false" customWidth="true" hidden="false" outlineLevel="0" max="4" min="4" style="0" width="62"/>
  </cols>
  <sheetData>
    <row r="1" customFormat="false" ht="24" hidden="false" customHeight="true" outlineLevel="0" collapsed="false">
      <c r="A1" s="1" t="s">
        <v>12</v>
      </c>
    </row>
    <row r="2" customFormat="false" ht="15" hidden="false" customHeight="false" outlineLevel="0" collapsed="false">
      <c r="A2" s="2" t="s">
        <v>13</v>
      </c>
    </row>
    <row r="3" customFormat="false" ht="15" hidden="false" customHeight="false" outlineLevel="0" collapsed="false">
      <c r="A3" s="3"/>
      <c r="B3" s="3"/>
      <c r="C3" s="3"/>
      <c r="D3" s="3"/>
    </row>
    <row r="5" customFormat="false" ht="15" hidden="false" customHeight="false" outlineLevel="0" collapsed="false">
      <c r="A5" s="4" t="s">
        <v>14</v>
      </c>
      <c r="B5" s="6"/>
      <c r="C5" s="6"/>
      <c r="D5" s="6"/>
    </row>
    <row r="7" customFormat="false" ht="15" hidden="false" customHeight="false" outlineLevel="0" collapsed="false">
      <c r="A7" s="7" t="s">
        <v>15</v>
      </c>
      <c r="B7" s="8" t="n">
        <v>14200</v>
      </c>
    </row>
    <row r="8" customFormat="false" ht="15" hidden="false" customHeight="false" outlineLevel="0" collapsed="false">
      <c r="A8" s="7" t="s">
        <v>16</v>
      </c>
      <c r="B8" s="9" t="n">
        <v>26400000</v>
      </c>
    </row>
    <row r="9" customFormat="false" ht="15" hidden="false" customHeight="false" outlineLevel="0" collapsed="false">
      <c r="A9" s="7" t="s">
        <v>17</v>
      </c>
      <c r="B9" s="10" t="n">
        <v>0.068</v>
      </c>
    </row>
    <row r="10" customFormat="false" ht="15" hidden="false" customHeight="false" outlineLevel="0" collapsed="false">
      <c r="A10" s="11" t="s">
        <v>18</v>
      </c>
      <c r="B10" s="12" t="n">
        <f aca="false">Price*(1+AcqPct)</f>
        <v>28195200</v>
      </c>
      <c r="D10" s="7" t="s">
        <v>19</v>
      </c>
    </row>
    <row r="11" customFormat="false" ht="15" hidden="false" customHeight="false" outlineLevel="0" collapsed="false">
      <c r="A11" s="11" t="s">
        <v>20</v>
      </c>
      <c r="B11" s="12" t="n">
        <f aca="false">SUM(CapexAmt)</f>
        <v>3400000</v>
      </c>
    </row>
    <row r="12" customFormat="false" ht="15" hidden="false" customHeight="false" outlineLevel="0" collapsed="false">
      <c r="A12" s="11" t="s">
        <v>21</v>
      </c>
      <c r="B12" s="12" t="n">
        <f aca="false">TotCost+CapexTot</f>
        <v>31595200</v>
      </c>
      <c r="D12" s="7" t="s">
        <v>22</v>
      </c>
    </row>
    <row r="14" customFormat="false" ht="15" hidden="false" customHeight="false" outlineLevel="0" collapsed="false">
      <c r="A14" s="4" t="s">
        <v>23</v>
      </c>
      <c r="B14" s="6"/>
      <c r="C14" s="6"/>
      <c r="D14" s="6"/>
    </row>
    <row r="16" customFormat="false" ht="15" hidden="false" customHeight="false" outlineLevel="0" collapsed="false">
      <c r="A16" s="7" t="s">
        <v>24</v>
      </c>
      <c r="B16" s="10" t="n">
        <v>0.0225</v>
      </c>
    </row>
    <row r="17" customFormat="false" ht="15" hidden="false" customHeight="false" outlineLevel="0" collapsed="false">
      <c r="A17" s="7" t="s">
        <v>25</v>
      </c>
      <c r="B17" s="13" t="n">
        <v>9</v>
      </c>
      <c r="D17" s="7" t="s">
        <v>26</v>
      </c>
    </row>
    <row r="18" customFormat="false" ht="15" hidden="false" customHeight="false" outlineLevel="0" collapsed="false">
      <c r="A18" s="7" t="s">
        <v>27</v>
      </c>
      <c r="B18" s="14" t="n">
        <v>0.15</v>
      </c>
      <c r="D18" s="7" t="s">
        <v>28</v>
      </c>
    </row>
    <row r="19" customFormat="false" ht="15" hidden="false" customHeight="false" outlineLevel="0" collapsed="false">
      <c r="A19" s="7" t="s">
        <v>29</v>
      </c>
      <c r="B19" s="10" t="n">
        <v>0.0165</v>
      </c>
    </row>
    <row r="20" customFormat="false" ht="15" hidden="false" customHeight="false" outlineLevel="0" collapsed="false">
      <c r="A20" s="7" t="s">
        <v>30</v>
      </c>
      <c r="B20" s="10" t="n">
        <v>0.0075</v>
      </c>
    </row>
    <row r="21" customFormat="false" ht="15" hidden="false" customHeight="false" outlineLevel="0" collapsed="false">
      <c r="A21" s="7" t="s">
        <v>31</v>
      </c>
      <c r="B21" s="10" t="n">
        <v>0.0665</v>
      </c>
    </row>
    <row r="22" customFormat="false" ht="15" hidden="false" customHeight="false" outlineLevel="0" collapsed="false">
      <c r="A22" s="7" t="s">
        <v>32</v>
      </c>
      <c r="B22" s="10" t="n">
        <v>0.0125</v>
      </c>
    </row>
    <row r="23" customFormat="false" ht="15" hidden="false" customHeight="false" outlineLevel="0" collapsed="false">
      <c r="A23" s="11" t="s">
        <v>33</v>
      </c>
      <c r="B23" s="15" t="n">
        <f aca="false">(12-VoidMth)/12</f>
        <v>0.25</v>
      </c>
      <c r="D23" s="7" t="s">
        <v>34</v>
      </c>
    </row>
    <row r="25" customFormat="false" ht="15" hidden="false" customHeight="false" outlineLevel="0" collapsed="false">
      <c r="A25" s="4" t="s">
        <v>35</v>
      </c>
      <c r="B25" s="6"/>
      <c r="C25" s="6"/>
      <c r="D25" s="6"/>
    </row>
    <row r="27" customFormat="false" ht="15" hidden="false" customHeight="false" outlineLevel="0" collapsed="false">
      <c r="A27" s="7" t="s">
        <v>36</v>
      </c>
      <c r="B27" s="14" t="n">
        <v>0.55</v>
      </c>
    </row>
    <row r="28" customFormat="false" ht="15" hidden="false" customHeight="false" outlineLevel="0" collapsed="false">
      <c r="A28" s="11" t="s">
        <v>37</v>
      </c>
      <c r="B28" s="12" t="n">
        <f aca="false">Price*Gearing</f>
        <v>14520000</v>
      </c>
    </row>
    <row r="29" customFormat="false" ht="15" hidden="false" customHeight="false" outlineLevel="0" collapsed="false">
      <c r="A29" s="7" t="s">
        <v>38</v>
      </c>
      <c r="B29" s="10" t="n">
        <v>0.0435</v>
      </c>
    </row>
    <row r="30" customFormat="false" ht="15" hidden="false" customHeight="false" outlineLevel="0" collapsed="false">
      <c r="A30" s="11" t="s">
        <v>39</v>
      </c>
      <c r="B30" s="12" t="n">
        <f aca="false">Debt*DebtRate</f>
        <v>631620</v>
      </c>
    </row>
    <row r="31" customFormat="false" ht="15" hidden="false" customHeight="false" outlineLevel="0" collapsed="false">
      <c r="A31" s="7" t="s">
        <v>40</v>
      </c>
      <c r="B31" s="10" t="n">
        <v>0.011</v>
      </c>
    </row>
    <row r="32" customFormat="false" ht="15" hidden="false" customHeight="false" outlineLevel="0" collapsed="false">
      <c r="A32" s="11" t="s">
        <v>41</v>
      </c>
      <c r="B32" s="12" t="n">
        <f aca="false">Debt*ArrPct</f>
        <v>159720</v>
      </c>
    </row>
    <row r="33" customFormat="false" ht="15" hidden="false" customHeight="false" outlineLevel="0" collapsed="false">
      <c r="A33" s="11" t="s">
        <v>42</v>
      </c>
      <c r="B33" s="12" t="n">
        <f aca="false">TotCost+ArrFee-Debt</f>
        <v>13834920</v>
      </c>
    </row>
    <row r="35" customFormat="false" ht="15" hidden="false" customHeight="false" outlineLevel="0" collapsed="false">
      <c r="A35" s="4" t="s">
        <v>43</v>
      </c>
      <c r="B35" s="6"/>
      <c r="C35" s="6"/>
      <c r="D35" s="6"/>
    </row>
    <row r="37" customFormat="false" ht="15" hidden="false" customHeight="false" outlineLevel="0" collapsed="false">
      <c r="A37" s="7" t="s">
        <v>44</v>
      </c>
      <c r="B37" s="10" t="n">
        <v>0.0075</v>
      </c>
    </row>
    <row r="38" customFormat="false" ht="15" hidden="false" customHeight="false" outlineLevel="0" collapsed="false">
      <c r="A38" s="11" t="s">
        <v>45</v>
      </c>
      <c r="B38" s="12" t="n">
        <f aca="false">TotCost*AMPct</f>
        <v>211464</v>
      </c>
    </row>
    <row r="39" customFormat="false" ht="15" hidden="false" customHeight="false" outlineLevel="0" collapsed="false">
      <c r="A39" s="7" t="s">
        <v>46</v>
      </c>
      <c r="B39" s="13" t="n">
        <v>10</v>
      </c>
    </row>
    <row r="40" customFormat="false" ht="15" hidden="false" customHeight="false" outlineLevel="0" collapsed="false">
      <c r="A40" s="11" t="s">
        <v>47</v>
      </c>
      <c r="B40" s="12" t="n">
        <f aca="false">AMFee*Hold</f>
        <v>2114640</v>
      </c>
    </row>
    <row r="41" customFormat="false" ht="15" hidden="false" customHeight="false" outlineLevel="0" collapsed="false">
      <c r="A41" s="7" t="s">
        <v>48</v>
      </c>
      <c r="B41" s="14" t="n">
        <v>0.08</v>
      </c>
    </row>
    <row r="42" customFormat="false" ht="15" hidden="false" customHeight="false" outlineLevel="0" collapsed="false">
      <c r="A42" s="7" t="s">
        <v>49</v>
      </c>
      <c r="B42" s="14" t="n">
        <v>0.2</v>
      </c>
    </row>
    <row r="43" customFormat="false" ht="15" hidden="false" customHeight="false" outlineLevel="0" collapsed="false">
      <c r="A43" s="11" t="s">
        <v>50</v>
      </c>
      <c r="B43" s="15" t="n">
        <f aca="false">Promote/(1-Promote)</f>
        <v>0.25</v>
      </c>
      <c r="D43" s="7" t="s">
        <v>51</v>
      </c>
    </row>
    <row r="44" customFormat="false" ht="15" hidden="false" customHeight="false" outlineLevel="0" collapsed="false">
      <c r="A44" s="7" t="s">
        <v>52</v>
      </c>
      <c r="B44" s="14" t="n">
        <v>0.35</v>
      </c>
      <c r="D44" s="7" t="s">
        <v>53</v>
      </c>
    </row>
    <row r="46" customFormat="false" ht="15" hidden="false" customHeight="false" outlineLevel="0" collapsed="false">
      <c r="A46" s="4" t="s">
        <v>54</v>
      </c>
      <c r="B46" s="6"/>
      <c r="C46" s="6"/>
      <c r="D46" s="6"/>
    </row>
    <row r="48" customFormat="false" ht="30" hidden="false" customHeight="true" outlineLevel="0" collapsed="false">
      <c r="A48" s="16" t="s">
        <v>54</v>
      </c>
      <c r="B48" s="17" t="s">
        <v>55</v>
      </c>
      <c r="C48" s="17"/>
      <c r="D48" s="17" t="s">
        <v>56</v>
      </c>
    </row>
    <row r="49" customFormat="false" ht="15" hidden="false" customHeight="false" outlineLevel="0" collapsed="false">
      <c r="A49" s="7" t="s">
        <v>57</v>
      </c>
      <c r="B49" s="13" t="n">
        <v>1</v>
      </c>
      <c r="C49" s="9" t="n">
        <v>1850000</v>
      </c>
      <c r="D49" s="7" t="s">
        <v>58</v>
      </c>
    </row>
    <row r="50" customFormat="false" ht="15" hidden="false" customHeight="false" outlineLevel="0" collapsed="false">
      <c r="A50" s="7" t="s">
        <v>59</v>
      </c>
      <c r="B50" s="13" t="n">
        <v>2</v>
      </c>
      <c r="C50" s="9" t="n">
        <v>940000</v>
      </c>
      <c r="D50" s="7" t="s">
        <v>60</v>
      </c>
    </row>
    <row r="51" customFormat="false" ht="15" hidden="false" customHeight="false" outlineLevel="0" collapsed="false">
      <c r="A51" s="7" t="s">
        <v>61</v>
      </c>
      <c r="B51" s="13" t="n">
        <v>3</v>
      </c>
      <c r="C51" s="9" t="n">
        <v>610000</v>
      </c>
      <c r="D51" s="7" t="s">
        <v>62</v>
      </c>
    </row>
    <row r="52" customFormat="false" ht="15" hidden="false" customHeight="false" outlineLevel="0" collapsed="false">
      <c r="A52" s="11" t="s">
        <v>63</v>
      </c>
      <c r="C52" s="12" t="n">
        <f aca="false">SUM(C49:C51)</f>
        <v>3400000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2" min="2" style="0" width="12"/>
    <col collapsed="false" customWidth="true" hidden="false" outlineLevel="0" max="4" min="3" style="0" width="15"/>
    <col collapsed="false" customWidth="true" hidden="false" outlineLevel="0" max="5" min="5" style="0" width="13"/>
    <col collapsed="false" customWidth="true" hidden="false" outlineLevel="0" max="6" min="6" style="0" width="12"/>
    <col collapsed="false" customWidth="true" hidden="false" outlineLevel="0" max="7" min="7" style="0" width="16"/>
    <col collapsed="false" customWidth="true" hidden="false" outlineLevel="0" max="8" min="8" style="0" width="13"/>
  </cols>
  <sheetData>
    <row r="1" customFormat="false" ht="24" hidden="false" customHeight="true" outlineLevel="0" collapsed="false">
      <c r="A1" s="1" t="s">
        <v>64</v>
      </c>
    </row>
    <row r="2" customFormat="false" ht="15" hidden="false" customHeight="false" outlineLevel="0" collapsed="false">
      <c r="A2" s="2" t="s">
        <v>65</v>
      </c>
    </row>
    <row r="3" customFormat="false" ht="15" hidden="false" customHeight="false" outlineLevel="0" collapsed="false">
      <c r="A3" s="3"/>
      <c r="B3" s="3"/>
      <c r="C3" s="3"/>
      <c r="D3" s="3"/>
      <c r="E3" s="3"/>
      <c r="F3" s="3"/>
      <c r="G3" s="3"/>
      <c r="H3" s="3"/>
    </row>
    <row r="5" customFormat="false" ht="15" hidden="false" customHeight="false" outlineLevel="0" collapsed="false">
      <c r="A5" s="18" t="s">
        <v>66</v>
      </c>
    </row>
    <row r="7" customFormat="false" ht="30" hidden="false" customHeight="true" outlineLevel="0" collapsed="false">
      <c r="A7" s="16" t="s">
        <v>67</v>
      </c>
      <c r="B7" s="17" t="s">
        <v>68</v>
      </c>
      <c r="C7" s="17" t="s">
        <v>69</v>
      </c>
      <c r="D7" s="17" t="s">
        <v>70</v>
      </c>
      <c r="E7" s="17" t="s">
        <v>71</v>
      </c>
      <c r="F7" s="17" t="s">
        <v>72</v>
      </c>
      <c r="G7" s="17" t="s">
        <v>73</v>
      </c>
      <c r="H7" s="17" t="s">
        <v>74</v>
      </c>
    </row>
    <row r="8" customFormat="false" ht="15" hidden="false" customHeight="false" outlineLevel="0" collapsed="false">
      <c r="A8" s="7" t="s">
        <v>75</v>
      </c>
      <c r="B8" s="8" t="n">
        <v>3150</v>
      </c>
      <c r="C8" s="9" t="n">
        <v>472500</v>
      </c>
      <c r="D8" s="9" t="n">
        <v>504000</v>
      </c>
      <c r="E8" s="13" t="n">
        <v>7</v>
      </c>
      <c r="F8" s="19" t="n">
        <f aca="false">IF($E8=0,1,$E8+1)</f>
        <v>8</v>
      </c>
      <c r="G8" s="20" t="n">
        <f aca="false">IF($E8=0,$D8*(1+Growth),MAX($C8,$D8*(1+Growth)^$E8))</f>
        <v>588943.663055956</v>
      </c>
      <c r="H8" s="21" t="n">
        <f aca="false">$G8*LetFee</f>
        <v>88341.5494583934</v>
      </c>
    </row>
    <row r="9" customFormat="false" ht="15" hidden="false" customHeight="false" outlineLevel="0" collapsed="false">
      <c r="A9" s="7" t="s">
        <v>76</v>
      </c>
      <c r="B9" s="8" t="n">
        <v>1980</v>
      </c>
      <c r="C9" s="9" t="n">
        <v>257400</v>
      </c>
      <c r="D9" s="9" t="n">
        <v>316800</v>
      </c>
      <c r="E9" s="13" t="n">
        <v>3</v>
      </c>
      <c r="F9" s="19" t="n">
        <f aca="false">IF($E9=0,1,$E9+1)</f>
        <v>4</v>
      </c>
      <c r="G9" s="20" t="n">
        <f aca="false">IF($E9=0,$D9*(1+Growth),MAX($C9,$D9*(1+Growth)^$E9))</f>
        <v>338668.74855</v>
      </c>
      <c r="H9" s="21" t="n">
        <f aca="false">$G9*LetFee</f>
        <v>50800.3122825</v>
      </c>
    </row>
    <row r="10" customFormat="false" ht="15" hidden="false" customHeight="false" outlineLevel="0" collapsed="false">
      <c r="A10" s="7" t="s">
        <v>77</v>
      </c>
      <c r="B10" s="8" t="n">
        <v>1640</v>
      </c>
      <c r="C10" s="9" t="n">
        <v>229600</v>
      </c>
      <c r="D10" s="9" t="n">
        <v>262400</v>
      </c>
      <c r="E10" s="13" t="n">
        <v>9</v>
      </c>
      <c r="F10" s="19" t="n">
        <f aca="false">IF($E10=0,1,$E10+1)</f>
        <v>10</v>
      </c>
      <c r="G10" s="20" t="n">
        <f aca="false">IF($E10=0,$D10*(1+Growth),MAX($C10,$D10*(1+Growth)^$E10))</f>
        <v>320577.974673508</v>
      </c>
      <c r="H10" s="21" t="n">
        <f aca="false">$G10*LetFee</f>
        <v>48086.6962010262</v>
      </c>
    </row>
    <row r="11" customFormat="false" ht="15" hidden="false" customHeight="false" outlineLevel="0" collapsed="false">
      <c r="A11" s="7" t="s">
        <v>78</v>
      </c>
      <c r="B11" s="8" t="n">
        <v>1310</v>
      </c>
      <c r="C11" s="9" t="n">
        <v>183400</v>
      </c>
      <c r="D11" s="9" t="n">
        <v>209600</v>
      </c>
      <c r="E11" s="13" t="n">
        <v>5</v>
      </c>
      <c r="F11" s="19" t="n">
        <f aca="false">IF($E11=0,1,$E11+1)</f>
        <v>6</v>
      </c>
      <c r="G11" s="20" t="n">
        <f aca="false">IF($E11=0,$D11*(1+Growth),MAX($C11,$D11*(1+Growth)^$E11))</f>
        <v>234265.244549597</v>
      </c>
      <c r="H11" s="21" t="n">
        <f aca="false">$G11*LetFee</f>
        <v>35139.7866824395</v>
      </c>
    </row>
    <row r="12" customFormat="false" ht="15" hidden="false" customHeight="false" outlineLevel="0" collapsed="false">
      <c r="A12" s="7" t="s">
        <v>79</v>
      </c>
      <c r="B12" s="8" t="n">
        <v>980</v>
      </c>
      <c r="C12" s="9" t="n">
        <v>117600</v>
      </c>
      <c r="D12" s="9" t="n">
        <v>156800</v>
      </c>
      <c r="E12" s="13" t="n">
        <v>2</v>
      </c>
      <c r="F12" s="19" t="n">
        <f aca="false">IF($E12=0,1,$E12+1)</f>
        <v>3</v>
      </c>
      <c r="G12" s="20" t="n">
        <f aca="false">IF($E12=0,$D12*(1+Growth),MAX($C12,$D12*(1+Growth)^$E12))</f>
        <v>163935.38</v>
      </c>
      <c r="H12" s="21" t="n">
        <f aca="false">$G12*LetFee</f>
        <v>24590.307</v>
      </c>
    </row>
    <row r="13" customFormat="false" ht="15" hidden="false" customHeight="false" outlineLevel="0" collapsed="false">
      <c r="A13" s="7" t="s">
        <v>80</v>
      </c>
      <c r="B13" s="8" t="n">
        <v>860</v>
      </c>
      <c r="C13" s="9" t="n">
        <v>129000</v>
      </c>
      <c r="D13" s="9" t="n">
        <v>137600</v>
      </c>
      <c r="E13" s="13" t="n">
        <v>11</v>
      </c>
      <c r="F13" s="19" t="n">
        <f aca="false">IF($E13=0,1,$E13+1)</f>
        <v>12</v>
      </c>
      <c r="G13" s="20" t="n">
        <f aca="false">IF($E13=0,$D13*(1+Growth),MAX($C13,$D13*(1+Growth)^$E13))</f>
        <v>175757.925289515</v>
      </c>
      <c r="H13" s="21" t="n">
        <f aca="false">$G13*LetFee</f>
        <v>26363.6887934273</v>
      </c>
    </row>
    <row r="14" customFormat="false" ht="15" hidden="false" customHeight="false" outlineLevel="0" collapsed="false">
      <c r="A14" s="7" t="s">
        <v>81</v>
      </c>
      <c r="B14" s="8" t="n">
        <v>720</v>
      </c>
      <c r="C14" s="9" t="n">
        <v>93600</v>
      </c>
      <c r="D14" s="9" t="n">
        <v>115200</v>
      </c>
      <c r="E14" s="13" t="n">
        <v>4</v>
      </c>
      <c r="F14" s="19" t="n">
        <f aca="false">IF($E14=0,1,$E14+1)</f>
        <v>5</v>
      </c>
      <c r="G14" s="20" t="n">
        <f aca="false">IF($E14=0,$D14*(1+Growth),MAX($C14,$D14*(1+Growth)^$E14))</f>
        <v>125923.1983245</v>
      </c>
      <c r="H14" s="21" t="n">
        <f aca="false">$G14*LetFee</f>
        <v>18888.479748675</v>
      </c>
    </row>
    <row r="15" customFormat="false" ht="15" hidden="false" customHeight="false" outlineLevel="0" collapsed="false">
      <c r="A15" s="7" t="s">
        <v>82</v>
      </c>
      <c r="B15" s="8" t="n">
        <v>640</v>
      </c>
      <c r="C15" s="9" t="n">
        <v>92800</v>
      </c>
      <c r="D15" s="9" t="n">
        <v>102400</v>
      </c>
      <c r="E15" s="13" t="n">
        <v>8</v>
      </c>
      <c r="F15" s="19" t="n">
        <f aca="false">IF($E15=0,1,$E15+1)</f>
        <v>9</v>
      </c>
      <c r="G15" s="20" t="n">
        <f aca="false">IF($E15=0,$D15*(1+Growth),MAX($C15,$D15*(1+Growth)^$E15))</f>
        <v>122350.708921847</v>
      </c>
      <c r="H15" s="21" t="n">
        <f aca="false">$G15*LetFee</f>
        <v>18352.606338277</v>
      </c>
    </row>
    <row r="16" customFormat="false" ht="15" hidden="false" customHeight="false" outlineLevel="0" collapsed="false">
      <c r="A16" s="7" t="s">
        <v>83</v>
      </c>
      <c r="B16" s="8" t="n">
        <v>1420</v>
      </c>
      <c r="C16" s="9" t="n">
        <v>0</v>
      </c>
      <c r="D16" s="9" t="n">
        <v>227200</v>
      </c>
      <c r="E16" s="13" t="n">
        <v>0</v>
      </c>
      <c r="F16" s="19" t="n">
        <f aca="false">IF($E16=0,1,$E16+1)</f>
        <v>1</v>
      </c>
      <c r="G16" s="20" t="n">
        <f aca="false">IF($E16=0,$D16*(1+Growth),MAX($C16,$D16*(1+Growth)^$E16))</f>
        <v>232312</v>
      </c>
      <c r="H16" s="21" t="n">
        <f aca="false">$G16*LetFee</f>
        <v>34846.8</v>
      </c>
    </row>
    <row r="17" customFormat="false" ht="15" hidden="false" customHeight="false" outlineLevel="0" collapsed="false">
      <c r="A17" s="7" t="s">
        <v>84</v>
      </c>
      <c r="B17" s="8" t="n">
        <v>1500</v>
      </c>
      <c r="C17" s="9" t="n">
        <v>0</v>
      </c>
      <c r="D17" s="9" t="n">
        <v>252000</v>
      </c>
      <c r="E17" s="13" t="n">
        <v>0</v>
      </c>
      <c r="F17" s="19" t="n">
        <f aca="false">IF($E17=0,1,$E17+1)</f>
        <v>1</v>
      </c>
      <c r="G17" s="20" t="n">
        <f aca="false">IF($E17=0,$D17*(1+Growth),MAX($C17,$D17*(1+Growth)^$E17))</f>
        <v>257670</v>
      </c>
      <c r="H17" s="21" t="n">
        <f aca="false">$G17*LetFee</f>
        <v>38650.5</v>
      </c>
    </row>
    <row r="18" customFormat="false" ht="15" hidden="false" customHeight="false" outlineLevel="0" collapsed="false">
      <c r="A18" s="11" t="s">
        <v>85</v>
      </c>
      <c r="B18" s="22" t="n">
        <f aca="false">SUM(B8:B17)</f>
        <v>14200</v>
      </c>
      <c r="C18" s="12" t="n">
        <f aca="false">SUM(C8:C17)</f>
        <v>1575900</v>
      </c>
      <c r="D18" s="12" t="n">
        <f aca="false">SUM(D8:D17)</f>
        <v>2284000</v>
      </c>
    </row>
    <row r="20" customFormat="false" ht="15" hidden="false" customHeight="false" outlineLevel="0" collapsed="false">
      <c r="A20" s="4" t="s">
        <v>86</v>
      </c>
      <c r="B20" s="6"/>
      <c r="C20" s="6"/>
      <c r="D20" s="6"/>
      <c r="E20" s="6"/>
      <c r="F20" s="6"/>
      <c r="G20" s="6"/>
      <c r="H20" s="6"/>
    </row>
    <row r="22" customFormat="false" ht="15" hidden="false" customHeight="false" outlineLevel="0" collapsed="false">
      <c r="A22" s="7" t="s">
        <v>87</v>
      </c>
      <c r="C22" s="23" t="n">
        <f aca="false">SUMIF($C$8:$C$17,0,$B$8:$B$17)/AreaTot</f>
        <v>0.205633802816901</v>
      </c>
      <c r="D22" s="7" t="s">
        <v>88</v>
      </c>
    </row>
    <row r="23" customFormat="false" ht="15" hidden="false" customHeight="false" outlineLevel="0" collapsed="false">
      <c r="A23" s="7" t="s">
        <v>89</v>
      </c>
      <c r="C23" s="23" t="n">
        <f aca="false">SUMIF($C$8:$C$17,0,$D$8:$D$17)/ErvTot</f>
        <v>0.209807355516637</v>
      </c>
    </row>
    <row r="24" customFormat="false" ht="15" hidden="false" customHeight="false" outlineLevel="0" collapsed="false">
      <c r="A24" s="7" t="s">
        <v>90</v>
      </c>
      <c r="C24" s="23" t="n">
        <f aca="false">ErvTot/PassRent-1</f>
        <v>0.449330541278</v>
      </c>
    </row>
    <row r="25" customFormat="false" ht="15" hidden="false" customHeight="false" outlineLevel="0" collapsed="false">
      <c r="A25" s="11" t="s">
        <v>91</v>
      </c>
      <c r="C25" s="12" t="n">
        <f aca="false">ErvTot*(1-NonRec-MgmtFee)</f>
        <v>2229184</v>
      </c>
      <c r="D25" s="7" t="s">
        <v>92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12" min="2" style="0" width="13"/>
  </cols>
  <sheetData>
    <row r="1" customFormat="false" ht="24" hidden="false" customHeight="true" outlineLevel="0" collapsed="false">
      <c r="A1" s="1" t="s">
        <v>93</v>
      </c>
    </row>
    <row r="2" customFormat="false" ht="15" hidden="false" customHeight="false" outlineLevel="0" collapsed="false">
      <c r="A2" s="2" t="s">
        <v>94</v>
      </c>
    </row>
    <row r="3" customFormat="false" ht="15" hidden="false" customHeight="false" outlineLevel="0" collapsed="false">
      <c r="A3" s="3"/>
      <c r="B3" s="3"/>
      <c r="C3" s="3"/>
      <c r="D3" s="3"/>
      <c r="E3" s="3"/>
      <c r="F3" s="3"/>
      <c r="G3" s="3"/>
      <c r="H3" s="3"/>
      <c r="I3" s="3"/>
      <c r="J3" s="3"/>
      <c r="K3" s="3"/>
      <c r="L3" s="3"/>
    </row>
    <row r="5" customFormat="false" ht="15" hidden="false" customHeight="false" outlineLevel="0" collapsed="false">
      <c r="A5" s="18" t="s">
        <v>95</v>
      </c>
    </row>
    <row r="7" customFormat="false" ht="15" hidden="false" customHeight="false" outlineLevel="0" collapsed="false">
      <c r="A7" s="4" t="s">
        <v>96</v>
      </c>
      <c r="B7" s="6"/>
      <c r="C7" s="6"/>
      <c r="D7" s="6"/>
      <c r="E7" s="6"/>
      <c r="F7" s="6"/>
      <c r="G7" s="6"/>
      <c r="H7" s="6"/>
      <c r="I7" s="6"/>
      <c r="J7" s="6"/>
      <c r="K7" s="6"/>
      <c r="L7" s="6"/>
    </row>
    <row r="9" customFormat="false" ht="15" hidden="false" customHeight="false" outlineLevel="0" collapsed="false">
      <c r="A9" s="24" t="s">
        <v>55</v>
      </c>
      <c r="B9" s="25" t="n">
        <v>1</v>
      </c>
      <c r="C9" s="25" t="n">
        <f aca="false">B9+1</f>
        <v>2</v>
      </c>
      <c r="D9" s="25" t="n">
        <f aca="false">C9+1</f>
        <v>3</v>
      </c>
      <c r="E9" s="25" t="n">
        <f aca="false">D9+1</f>
        <v>4</v>
      </c>
      <c r="F9" s="25" t="n">
        <f aca="false">E9+1</f>
        <v>5</v>
      </c>
      <c r="G9" s="25" t="n">
        <f aca="false">F9+1</f>
        <v>6</v>
      </c>
      <c r="H9" s="25" t="n">
        <f aca="false">G9+1</f>
        <v>7</v>
      </c>
      <c r="I9" s="25" t="n">
        <f aca="false">H9+1</f>
        <v>8</v>
      </c>
      <c r="J9" s="25" t="n">
        <f aca="false">I9+1</f>
        <v>9</v>
      </c>
      <c r="K9" s="25" t="n">
        <f aca="false">J9+1</f>
        <v>10</v>
      </c>
      <c r="L9" s="25" t="n">
        <f aca="false">K9+1</f>
        <v>11</v>
      </c>
    </row>
    <row r="10" customFormat="false" ht="15" hidden="false" customHeight="false" outlineLevel="0" collapsed="false">
      <c r="A10" s="7" t="str">
        <f aca="false">'Rent roll'!A8</f>
        <v>Ardgour Logistics</v>
      </c>
      <c r="B10" s="26" t="n">
        <f aca="false">IF(B$9&lt;='Rent roll'!$E8,'Rent roll'!$C8,IF(B$9='Rent roll'!$F8,'Rent roll'!$G8*LetFrac,IF(B$9&gt;'Rent roll'!$F8,'Rent roll'!$G8,0)))</f>
        <v>472500</v>
      </c>
      <c r="C10" s="26" t="n">
        <f aca="false">IF(C$9&lt;='Rent roll'!$E8,'Rent roll'!$C8,IF(C$9='Rent roll'!$F8,'Rent roll'!$G8*LetFrac,IF(C$9&gt;'Rent roll'!$F8,'Rent roll'!$G8,0)))</f>
        <v>472500</v>
      </c>
      <c r="D10" s="26" t="n">
        <f aca="false">IF(D$9&lt;='Rent roll'!$E8,'Rent roll'!$C8,IF(D$9='Rent roll'!$F8,'Rent roll'!$G8*LetFrac,IF(D$9&gt;'Rent roll'!$F8,'Rent roll'!$G8,0)))</f>
        <v>472500</v>
      </c>
      <c r="E10" s="26" t="n">
        <f aca="false">IF(E$9&lt;='Rent roll'!$E8,'Rent roll'!$C8,IF(E$9='Rent roll'!$F8,'Rent roll'!$G8*LetFrac,IF(E$9&gt;'Rent roll'!$F8,'Rent roll'!$G8,0)))</f>
        <v>472500</v>
      </c>
      <c r="F10" s="26" t="n">
        <f aca="false">IF(F$9&lt;='Rent roll'!$E8,'Rent roll'!$C8,IF(F$9='Rent roll'!$F8,'Rent roll'!$G8*LetFrac,IF(F$9&gt;'Rent roll'!$F8,'Rent roll'!$G8,0)))</f>
        <v>472500</v>
      </c>
      <c r="G10" s="26" t="n">
        <f aca="false">IF(G$9&lt;='Rent roll'!$E8,'Rent roll'!$C8,IF(G$9='Rent roll'!$F8,'Rent roll'!$G8*LetFrac,IF(G$9&gt;'Rent roll'!$F8,'Rent roll'!$G8,0)))</f>
        <v>472500</v>
      </c>
      <c r="H10" s="26" t="n">
        <f aca="false">IF(H$9&lt;='Rent roll'!$E8,'Rent roll'!$C8,IF(H$9='Rent roll'!$F8,'Rent roll'!$G8*LetFrac,IF(H$9&gt;'Rent roll'!$F8,'Rent roll'!$G8,0)))</f>
        <v>472500</v>
      </c>
      <c r="I10" s="26" t="n">
        <f aca="false">IF(I$9&lt;='Rent roll'!$E8,'Rent roll'!$C8,IF(I$9='Rent roll'!$F8,'Rent roll'!$G8*LetFrac,IF(I$9&gt;'Rent roll'!$F8,'Rent roll'!$G8,0)))</f>
        <v>147235.915763989</v>
      </c>
      <c r="J10" s="26" t="n">
        <f aca="false">IF(J$9&lt;='Rent roll'!$E8,'Rent roll'!$C8,IF(J$9='Rent roll'!$F8,'Rent roll'!$G8*LetFrac,IF(J$9&gt;'Rent roll'!$F8,'Rent roll'!$G8,0)))</f>
        <v>588943.663055956</v>
      </c>
      <c r="K10" s="26" t="n">
        <f aca="false">IF(K$9&lt;='Rent roll'!$E8,'Rent roll'!$C8,IF(K$9='Rent roll'!$F8,'Rent roll'!$G8*LetFrac,IF(K$9&gt;'Rent roll'!$F8,'Rent roll'!$G8,0)))</f>
        <v>588943.663055956</v>
      </c>
      <c r="L10" s="26" t="n">
        <f aca="false">IF(L$9&lt;='Rent roll'!$E8,'Rent roll'!$C8,IF(L$9='Rent roll'!$F8,'Rent roll'!$G8*LetFrac,IF(L$9&gt;'Rent roll'!$F8,'Rent roll'!$G8,0)))</f>
        <v>588943.663055956</v>
      </c>
    </row>
    <row r="11" customFormat="false" ht="15" hidden="false" customHeight="false" outlineLevel="0" collapsed="false">
      <c r="A11" s="7" t="str">
        <f aca="false">'Rent roll'!A9</f>
        <v>Kilmory Print</v>
      </c>
      <c r="B11" s="26" t="n">
        <f aca="false">IF(B$9&lt;='Rent roll'!$E9,'Rent roll'!$C9,IF(B$9='Rent roll'!$F9,'Rent roll'!$G9*LetFrac,IF(B$9&gt;'Rent roll'!$F9,'Rent roll'!$G9,0)))</f>
        <v>257400</v>
      </c>
      <c r="C11" s="26" t="n">
        <f aca="false">IF(C$9&lt;='Rent roll'!$E9,'Rent roll'!$C9,IF(C$9='Rent roll'!$F9,'Rent roll'!$G9*LetFrac,IF(C$9&gt;'Rent roll'!$F9,'Rent roll'!$G9,0)))</f>
        <v>257400</v>
      </c>
      <c r="D11" s="26" t="n">
        <f aca="false">IF(D$9&lt;='Rent roll'!$E9,'Rent roll'!$C9,IF(D$9='Rent roll'!$F9,'Rent roll'!$G9*LetFrac,IF(D$9&gt;'Rent roll'!$F9,'Rent roll'!$G9,0)))</f>
        <v>257400</v>
      </c>
      <c r="E11" s="26" t="n">
        <f aca="false">IF(E$9&lt;='Rent roll'!$E9,'Rent roll'!$C9,IF(E$9='Rent roll'!$F9,'Rent roll'!$G9*LetFrac,IF(E$9&gt;'Rent roll'!$F9,'Rent roll'!$G9,0)))</f>
        <v>84667.1871375</v>
      </c>
      <c r="F11" s="26" t="n">
        <f aca="false">IF(F$9&lt;='Rent roll'!$E9,'Rent roll'!$C9,IF(F$9='Rent roll'!$F9,'Rent roll'!$G9*LetFrac,IF(F$9&gt;'Rent roll'!$F9,'Rent roll'!$G9,0)))</f>
        <v>338668.74855</v>
      </c>
      <c r="G11" s="26" t="n">
        <f aca="false">IF(G$9&lt;='Rent roll'!$E9,'Rent roll'!$C9,IF(G$9='Rent roll'!$F9,'Rent roll'!$G9*LetFrac,IF(G$9&gt;'Rent roll'!$F9,'Rent roll'!$G9,0)))</f>
        <v>338668.74855</v>
      </c>
      <c r="H11" s="26" t="n">
        <f aca="false">IF(H$9&lt;='Rent roll'!$E9,'Rent roll'!$C9,IF(H$9='Rent roll'!$F9,'Rent roll'!$G9*LetFrac,IF(H$9&gt;'Rent roll'!$F9,'Rent roll'!$G9,0)))</f>
        <v>338668.74855</v>
      </c>
      <c r="I11" s="26" t="n">
        <f aca="false">IF(I$9&lt;='Rent roll'!$E9,'Rent roll'!$C9,IF(I$9='Rent roll'!$F9,'Rent roll'!$G9*LetFrac,IF(I$9&gt;'Rent roll'!$F9,'Rent roll'!$G9,0)))</f>
        <v>338668.74855</v>
      </c>
      <c r="J11" s="26" t="n">
        <f aca="false">IF(J$9&lt;='Rent roll'!$E9,'Rent roll'!$C9,IF(J$9='Rent roll'!$F9,'Rent roll'!$G9*LetFrac,IF(J$9&gt;'Rent roll'!$F9,'Rent roll'!$G9,0)))</f>
        <v>338668.74855</v>
      </c>
      <c r="K11" s="26" t="n">
        <f aca="false">IF(K$9&lt;='Rent roll'!$E9,'Rent roll'!$C9,IF(K$9='Rent roll'!$F9,'Rent roll'!$G9*LetFrac,IF(K$9&gt;'Rent roll'!$F9,'Rent roll'!$G9,0)))</f>
        <v>338668.74855</v>
      </c>
      <c r="L11" s="26" t="n">
        <f aca="false">IF(L$9&lt;='Rent roll'!$E9,'Rent roll'!$C9,IF(L$9='Rent roll'!$F9,'Rent roll'!$G9*LetFrac,IF(L$9&gt;'Rent roll'!$F9,'Rent roll'!$G9,0)))</f>
        <v>338668.74855</v>
      </c>
    </row>
    <row r="12" customFormat="false" ht="15" hidden="false" customHeight="false" outlineLevel="0" collapsed="false">
      <c r="A12" s="7" t="str">
        <f aca="false">'Rent roll'!A10</f>
        <v>Tannoch Foods</v>
      </c>
      <c r="B12" s="26" t="n">
        <f aca="false">IF(B$9&lt;='Rent roll'!$E10,'Rent roll'!$C10,IF(B$9='Rent roll'!$F10,'Rent roll'!$G10*LetFrac,IF(B$9&gt;'Rent roll'!$F10,'Rent roll'!$G10,0)))</f>
        <v>229600</v>
      </c>
      <c r="C12" s="26" t="n">
        <f aca="false">IF(C$9&lt;='Rent roll'!$E10,'Rent roll'!$C10,IF(C$9='Rent roll'!$F10,'Rent roll'!$G10*LetFrac,IF(C$9&gt;'Rent roll'!$F10,'Rent roll'!$G10,0)))</f>
        <v>229600</v>
      </c>
      <c r="D12" s="26" t="n">
        <f aca="false">IF(D$9&lt;='Rent roll'!$E10,'Rent roll'!$C10,IF(D$9='Rent roll'!$F10,'Rent roll'!$G10*LetFrac,IF(D$9&gt;'Rent roll'!$F10,'Rent roll'!$G10,0)))</f>
        <v>229600</v>
      </c>
      <c r="E12" s="26" t="n">
        <f aca="false">IF(E$9&lt;='Rent roll'!$E10,'Rent roll'!$C10,IF(E$9='Rent roll'!$F10,'Rent roll'!$G10*LetFrac,IF(E$9&gt;'Rent roll'!$F10,'Rent roll'!$G10,0)))</f>
        <v>229600</v>
      </c>
      <c r="F12" s="26" t="n">
        <f aca="false">IF(F$9&lt;='Rent roll'!$E10,'Rent roll'!$C10,IF(F$9='Rent roll'!$F10,'Rent roll'!$G10*LetFrac,IF(F$9&gt;'Rent roll'!$F10,'Rent roll'!$G10,0)))</f>
        <v>229600</v>
      </c>
      <c r="G12" s="26" t="n">
        <f aca="false">IF(G$9&lt;='Rent roll'!$E10,'Rent roll'!$C10,IF(G$9='Rent roll'!$F10,'Rent roll'!$G10*LetFrac,IF(G$9&gt;'Rent roll'!$F10,'Rent roll'!$G10,0)))</f>
        <v>229600</v>
      </c>
      <c r="H12" s="26" t="n">
        <f aca="false">IF(H$9&lt;='Rent roll'!$E10,'Rent roll'!$C10,IF(H$9='Rent roll'!$F10,'Rent roll'!$G10*LetFrac,IF(H$9&gt;'Rent roll'!$F10,'Rent roll'!$G10,0)))</f>
        <v>229600</v>
      </c>
      <c r="I12" s="26" t="n">
        <f aca="false">IF(I$9&lt;='Rent roll'!$E10,'Rent roll'!$C10,IF(I$9='Rent roll'!$F10,'Rent roll'!$G10*LetFrac,IF(I$9&gt;'Rent roll'!$F10,'Rent roll'!$G10,0)))</f>
        <v>229600</v>
      </c>
      <c r="J12" s="26" t="n">
        <f aca="false">IF(J$9&lt;='Rent roll'!$E10,'Rent roll'!$C10,IF(J$9='Rent roll'!$F10,'Rent roll'!$G10*LetFrac,IF(J$9&gt;'Rent roll'!$F10,'Rent roll'!$G10,0)))</f>
        <v>229600</v>
      </c>
      <c r="K12" s="26" t="n">
        <f aca="false">IF(K$9&lt;='Rent roll'!$E10,'Rent roll'!$C10,IF(K$9='Rent roll'!$F10,'Rent roll'!$G10*LetFrac,IF(K$9&gt;'Rent roll'!$F10,'Rent roll'!$G10,0)))</f>
        <v>80144.493668377</v>
      </c>
      <c r="L12" s="26" t="n">
        <f aca="false">IF(L$9&lt;='Rent roll'!$E10,'Rent roll'!$C10,IF(L$9='Rent roll'!$F10,'Rent roll'!$G10*LetFrac,IF(L$9&gt;'Rent roll'!$F10,'Rent roll'!$G10,0)))</f>
        <v>320577.974673508</v>
      </c>
    </row>
    <row r="13" customFormat="false" ht="15" hidden="false" customHeight="false" outlineLevel="0" collapsed="false">
      <c r="A13" s="7" t="str">
        <f aca="false">'Rent roll'!A11</f>
        <v>Struan Instruments</v>
      </c>
      <c r="B13" s="26" t="n">
        <f aca="false">IF(B$9&lt;='Rent roll'!$E11,'Rent roll'!$C11,IF(B$9='Rent roll'!$F11,'Rent roll'!$G11*LetFrac,IF(B$9&gt;'Rent roll'!$F11,'Rent roll'!$G11,0)))</f>
        <v>183400</v>
      </c>
      <c r="C13" s="26" t="n">
        <f aca="false">IF(C$9&lt;='Rent roll'!$E11,'Rent roll'!$C11,IF(C$9='Rent roll'!$F11,'Rent roll'!$G11*LetFrac,IF(C$9&gt;'Rent roll'!$F11,'Rent roll'!$G11,0)))</f>
        <v>183400</v>
      </c>
      <c r="D13" s="26" t="n">
        <f aca="false">IF(D$9&lt;='Rent roll'!$E11,'Rent roll'!$C11,IF(D$9='Rent roll'!$F11,'Rent roll'!$G11*LetFrac,IF(D$9&gt;'Rent roll'!$F11,'Rent roll'!$G11,0)))</f>
        <v>183400</v>
      </c>
      <c r="E13" s="26" t="n">
        <f aca="false">IF(E$9&lt;='Rent roll'!$E11,'Rent roll'!$C11,IF(E$9='Rent roll'!$F11,'Rent roll'!$G11*LetFrac,IF(E$9&gt;'Rent roll'!$F11,'Rent roll'!$G11,0)))</f>
        <v>183400</v>
      </c>
      <c r="F13" s="26" t="n">
        <f aca="false">IF(F$9&lt;='Rent roll'!$E11,'Rent roll'!$C11,IF(F$9='Rent roll'!$F11,'Rent roll'!$G11*LetFrac,IF(F$9&gt;'Rent roll'!$F11,'Rent roll'!$G11,0)))</f>
        <v>183400</v>
      </c>
      <c r="G13" s="26" t="n">
        <f aca="false">IF(G$9&lt;='Rent roll'!$E11,'Rent roll'!$C11,IF(G$9='Rent roll'!$F11,'Rent roll'!$G11*LetFrac,IF(G$9&gt;'Rent roll'!$F11,'Rent roll'!$G11,0)))</f>
        <v>58566.3111373992</v>
      </c>
      <c r="H13" s="26" t="n">
        <f aca="false">IF(H$9&lt;='Rent roll'!$E11,'Rent roll'!$C11,IF(H$9='Rent roll'!$F11,'Rent roll'!$G11*LetFrac,IF(H$9&gt;'Rent roll'!$F11,'Rent roll'!$G11,0)))</f>
        <v>234265.244549597</v>
      </c>
      <c r="I13" s="26" t="n">
        <f aca="false">IF(I$9&lt;='Rent roll'!$E11,'Rent roll'!$C11,IF(I$9='Rent roll'!$F11,'Rent roll'!$G11*LetFrac,IF(I$9&gt;'Rent roll'!$F11,'Rent roll'!$G11,0)))</f>
        <v>234265.244549597</v>
      </c>
      <c r="J13" s="26" t="n">
        <f aca="false">IF(J$9&lt;='Rent roll'!$E11,'Rent roll'!$C11,IF(J$9='Rent roll'!$F11,'Rent roll'!$G11*LetFrac,IF(J$9&gt;'Rent roll'!$F11,'Rent roll'!$G11,0)))</f>
        <v>234265.244549597</v>
      </c>
      <c r="K13" s="26" t="n">
        <f aca="false">IF(K$9&lt;='Rent roll'!$E11,'Rent roll'!$C11,IF(K$9='Rent roll'!$F11,'Rent roll'!$G11*LetFrac,IF(K$9&gt;'Rent roll'!$F11,'Rent roll'!$G11,0)))</f>
        <v>234265.244549597</v>
      </c>
      <c r="L13" s="26" t="n">
        <f aca="false">IF(L$9&lt;='Rent roll'!$E11,'Rent roll'!$C11,IF(L$9='Rent roll'!$F11,'Rent roll'!$G11*LetFrac,IF(L$9&gt;'Rent roll'!$F11,'Rent roll'!$G11,0)))</f>
        <v>234265.244549597</v>
      </c>
    </row>
    <row r="14" customFormat="false" ht="15" hidden="false" customHeight="false" outlineLevel="0" collapsed="false">
      <c r="A14" s="7" t="str">
        <f aca="false">'Rent roll'!A12</f>
        <v>Balvaig Textiles</v>
      </c>
      <c r="B14" s="26" t="n">
        <f aca="false">IF(B$9&lt;='Rent roll'!$E12,'Rent roll'!$C12,IF(B$9='Rent roll'!$F12,'Rent roll'!$G12*LetFrac,IF(B$9&gt;'Rent roll'!$F12,'Rent roll'!$G12,0)))</f>
        <v>117600</v>
      </c>
      <c r="C14" s="26" t="n">
        <f aca="false">IF(C$9&lt;='Rent roll'!$E12,'Rent roll'!$C12,IF(C$9='Rent roll'!$F12,'Rent roll'!$G12*LetFrac,IF(C$9&gt;'Rent roll'!$F12,'Rent roll'!$G12,0)))</f>
        <v>117600</v>
      </c>
      <c r="D14" s="26" t="n">
        <f aca="false">IF(D$9&lt;='Rent roll'!$E12,'Rent roll'!$C12,IF(D$9='Rent roll'!$F12,'Rent roll'!$G12*LetFrac,IF(D$9&gt;'Rent roll'!$F12,'Rent roll'!$G12,0)))</f>
        <v>40983.845</v>
      </c>
      <c r="E14" s="26" t="n">
        <f aca="false">IF(E$9&lt;='Rent roll'!$E12,'Rent roll'!$C12,IF(E$9='Rent roll'!$F12,'Rent roll'!$G12*LetFrac,IF(E$9&gt;'Rent roll'!$F12,'Rent roll'!$G12,0)))</f>
        <v>163935.38</v>
      </c>
      <c r="F14" s="26" t="n">
        <f aca="false">IF(F$9&lt;='Rent roll'!$E12,'Rent roll'!$C12,IF(F$9='Rent roll'!$F12,'Rent roll'!$G12*LetFrac,IF(F$9&gt;'Rent roll'!$F12,'Rent roll'!$G12,0)))</f>
        <v>163935.38</v>
      </c>
      <c r="G14" s="26" t="n">
        <f aca="false">IF(G$9&lt;='Rent roll'!$E12,'Rent roll'!$C12,IF(G$9='Rent roll'!$F12,'Rent roll'!$G12*LetFrac,IF(G$9&gt;'Rent roll'!$F12,'Rent roll'!$G12,0)))</f>
        <v>163935.38</v>
      </c>
      <c r="H14" s="26" t="n">
        <f aca="false">IF(H$9&lt;='Rent roll'!$E12,'Rent roll'!$C12,IF(H$9='Rent roll'!$F12,'Rent roll'!$G12*LetFrac,IF(H$9&gt;'Rent roll'!$F12,'Rent roll'!$G12,0)))</f>
        <v>163935.38</v>
      </c>
      <c r="I14" s="26" t="n">
        <f aca="false">IF(I$9&lt;='Rent roll'!$E12,'Rent roll'!$C12,IF(I$9='Rent roll'!$F12,'Rent roll'!$G12*LetFrac,IF(I$9&gt;'Rent roll'!$F12,'Rent roll'!$G12,0)))</f>
        <v>163935.38</v>
      </c>
      <c r="J14" s="26" t="n">
        <f aca="false">IF(J$9&lt;='Rent roll'!$E12,'Rent roll'!$C12,IF(J$9='Rent roll'!$F12,'Rent roll'!$G12*LetFrac,IF(J$9&gt;'Rent roll'!$F12,'Rent roll'!$G12,0)))</f>
        <v>163935.38</v>
      </c>
      <c r="K14" s="26" t="n">
        <f aca="false">IF(K$9&lt;='Rent roll'!$E12,'Rent roll'!$C12,IF(K$9='Rent roll'!$F12,'Rent roll'!$G12*LetFrac,IF(K$9&gt;'Rent roll'!$F12,'Rent roll'!$G12,0)))</f>
        <v>163935.38</v>
      </c>
      <c r="L14" s="26" t="n">
        <f aca="false">IF(L$9&lt;='Rent roll'!$E12,'Rent roll'!$C12,IF(L$9='Rent roll'!$F12,'Rent roll'!$G12*LetFrac,IF(L$9&gt;'Rent roll'!$F12,'Rent roll'!$G12,0)))</f>
        <v>163935.38</v>
      </c>
    </row>
    <row r="15" customFormat="false" ht="15" hidden="false" customHeight="false" outlineLevel="0" collapsed="false">
      <c r="A15" s="7" t="str">
        <f aca="false">'Rent roll'!A13</f>
        <v>Corrour Systems</v>
      </c>
      <c r="B15" s="26" t="n">
        <f aca="false">IF(B$9&lt;='Rent roll'!$E13,'Rent roll'!$C13,IF(B$9='Rent roll'!$F13,'Rent roll'!$G13*LetFrac,IF(B$9&gt;'Rent roll'!$F13,'Rent roll'!$G13,0)))</f>
        <v>129000</v>
      </c>
      <c r="C15" s="26" t="n">
        <f aca="false">IF(C$9&lt;='Rent roll'!$E13,'Rent roll'!$C13,IF(C$9='Rent roll'!$F13,'Rent roll'!$G13*LetFrac,IF(C$9&gt;'Rent roll'!$F13,'Rent roll'!$G13,0)))</f>
        <v>129000</v>
      </c>
      <c r="D15" s="26" t="n">
        <f aca="false">IF(D$9&lt;='Rent roll'!$E13,'Rent roll'!$C13,IF(D$9='Rent roll'!$F13,'Rent roll'!$G13*LetFrac,IF(D$9&gt;'Rent roll'!$F13,'Rent roll'!$G13,0)))</f>
        <v>129000</v>
      </c>
      <c r="E15" s="26" t="n">
        <f aca="false">IF(E$9&lt;='Rent roll'!$E13,'Rent roll'!$C13,IF(E$9='Rent roll'!$F13,'Rent roll'!$G13*LetFrac,IF(E$9&gt;'Rent roll'!$F13,'Rent roll'!$G13,0)))</f>
        <v>129000</v>
      </c>
      <c r="F15" s="26" t="n">
        <f aca="false">IF(F$9&lt;='Rent roll'!$E13,'Rent roll'!$C13,IF(F$9='Rent roll'!$F13,'Rent roll'!$G13*LetFrac,IF(F$9&gt;'Rent roll'!$F13,'Rent roll'!$G13,0)))</f>
        <v>129000</v>
      </c>
      <c r="G15" s="26" t="n">
        <f aca="false">IF(G$9&lt;='Rent roll'!$E13,'Rent roll'!$C13,IF(G$9='Rent roll'!$F13,'Rent roll'!$G13*LetFrac,IF(G$9&gt;'Rent roll'!$F13,'Rent roll'!$G13,0)))</f>
        <v>129000</v>
      </c>
      <c r="H15" s="26" t="n">
        <f aca="false">IF(H$9&lt;='Rent roll'!$E13,'Rent roll'!$C13,IF(H$9='Rent roll'!$F13,'Rent roll'!$G13*LetFrac,IF(H$9&gt;'Rent roll'!$F13,'Rent roll'!$G13,0)))</f>
        <v>129000</v>
      </c>
      <c r="I15" s="26" t="n">
        <f aca="false">IF(I$9&lt;='Rent roll'!$E13,'Rent roll'!$C13,IF(I$9='Rent roll'!$F13,'Rent roll'!$G13*LetFrac,IF(I$9&gt;'Rent roll'!$F13,'Rent roll'!$G13,0)))</f>
        <v>129000</v>
      </c>
      <c r="J15" s="26" t="n">
        <f aca="false">IF(J$9&lt;='Rent roll'!$E13,'Rent roll'!$C13,IF(J$9='Rent roll'!$F13,'Rent roll'!$G13*LetFrac,IF(J$9&gt;'Rent roll'!$F13,'Rent roll'!$G13,0)))</f>
        <v>129000</v>
      </c>
      <c r="K15" s="26" t="n">
        <f aca="false">IF(K$9&lt;='Rent roll'!$E13,'Rent roll'!$C13,IF(K$9='Rent roll'!$F13,'Rent roll'!$G13*LetFrac,IF(K$9&gt;'Rent roll'!$F13,'Rent roll'!$G13,0)))</f>
        <v>129000</v>
      </c>
      <c r="L15" s="26" t="n">
        <f aca="false">IF(L$9&lt;='Rent roll'!$E13,'Rent roll'!$C13,IF(L$9='Rent roll'!$F13,'Rent roll'!$G13*LetFrac,IF(L$9&gt;'Rent roll'!$F13,'Rent roll'!$G13,0)))</f>
        <v>129000</v>
      </c>
    </row>
    <row r="16" customFormat="false" ht="15" hidden="false" customHeight="false" outlineLevel="0" collapsed="false">
      <c r="A16" s="7" t="str">
        <f aca="false">'Rent roll'!A14</f>
        <v>Dunardry Media</v>
      </c>
      <c r="B16" s="26" t="n">
        <f aca="false">IF(B$9&lt;='Rent roll'!$E14,'Rent roll'!$C14,IF(B$9='Rent roll'!$F14,'Rent roll'!$G14*LetFrac,IF(B$9&gt;'Rent roll'!$F14,'Rent roll'!$G14,0)))</f>
        <v>93600</v>
      </c>
      <c r="C16" s="26" t="n">
        <f aca="false">IF(C$9&lt;='Rent roll'!$E14,'Rent roll'!$C14,IF(C$9='Rent roll'!$F14,'Rent roll'!$G14*LetFrac,IF(C$9&gt;'Rent roll'!$F14,'Rent roll'!$G14,0)))</f>
        <v>93600</v>
      </c>
      <c r="D16" s="26" t="n">
        <f aca="false">IF(D$9&lt;='Rent roll'!$E14,'Rent roll'!$C14,IF(D$9='Rent roll'!$F14,'Rent roll'!$G14*LetFrac,IF(D$9&gt;'Rent roll'!$F14,'Rent roll'!$G14,0)))</f>
        <v>93600</v>
      </c>
      <c r="E16" s="26" t="n">
        <f aca="false">IF(E$9&lt;='Rent roll'!$E14,'Rent roll'!$C14,IF(E$9='Rent roll'!$F14,'Rent roll'!$G14*LetFrac,IF(E$9&gt;'Rent roll'!$F14,'Rent roll'!$G14,0)))</f>
        <v>93600</v>
      </c>
      <c r="F16" s="26" t="n">
        <f aca="false">IF(F$9&lt;='Rent roll'!$E14,'Rent roll'!$C14,IF(F$9='Rent roll'!$F14,'Rent roll'!$G14*LetFrac,IF(F$9&gt;'Rent roll'!$F14,'Rent roll'!$G14,0)))</f>
        <v>31480.799581125</v>
      </c>
      <c r="G16" s="26" t="n">
        <f aca="false">IF(G$9&lt;='Rent roll'!$E14,'Rent roll'!$C14,IF(G$9='Rent roll'!$F14,'Rent roll'!$G14*LetFrac,IF(G$9&gt;'Rent roll'!$F14,'Rent roll'!$G14,0)))</f>
        <v>125923.1983245</v>
      </c>
      <c r="H16" s="26" t="n">
        <f aca="false">IF(H$9&lt;='Rent roll'!$E14,'Rent roll'!$C14,IF(H$9='Rent roll'!$F14,'Rent roll'!$G14*LetFrac,IF(H$9&gt;'Rent roll'!$F14,'Rent roll'!$G14,0)))</f>
        <v>125923.1983245</v>
      </c>
      <c r="I16" s="26" t="n">
        <f aca="false">IF(I$9&lt;='Rent roll'!$E14,'Rent roll'!$C14,IF(I$9='Rent roll'!$F14,'Rent roll'!$G14*LetFrac,IF(I$9&gt;'Rent roll'!$F14,'Rent roll'!$G14,0)))</f>
        <v>125923.1983245</v>
      </c>
      <c r="J16" s="26" t="n">
        <f aca="false">IF(J$9&lt;='Rent roll'!$E14,'Rent roll'!$C14,IF(J$9='Rent roll'!$F14,'Rent roll'!$G14*LetFrac,IF(J$9&gt;'Rent roll'!$F14,'Rent roll'!$G14,0)))</f>
        <v>125923.1983245</v>
      </c>
      <c r="K16" s="26" t="n">
        <f aca="false">IF(K$9&lt;='Rent roll'!$E14,'Rent roll'!$C14,IF(K$9='Rent roll'!$F14,'Rent roll'!$G14*LetFrac,IF(K$9&gt;'Rent roll'!$F14,'Rent roll'!$G14,0)))</f>
        <v>125923.1983245</v>
      </c>
      <c r="L16" s="26" t="n">
        <f aca="false">IF(L$9&lt;='Rent roll'!$E14,'Rent roll'!$C14,IF(L$9='Rent roll'!$F14,'Rent roll'!$G14*LetFrac,IF(L$9&gt;'Rent roll'!$F14,'Rent roll'!$G14,0)))</f>
        <v>125923.1983245</v>
      </c>
    </row>
    <row r="17" customFormat="false" ht="15" hidden="false" customHeight="false" outlineLevel="0" collapsed="false">
      <c r="A17" s="7" t="str">
        <f aca="false">'Rent roll'!A15</f>
        <v>Eilanreach Labs</v>
      </c>
      <c r="B17" s="26" t="n">
        <f aca="false">IF(B$9&lt;='Rent roll'!$E15,'Rent roll'!$C15,IF(B$9='Rent roll'!$F15,'Rent roll'!$G15*LetFrac,IF(B$9&gt;'Rent roll'!$F15,'Rent roll'!$G15,0)))</f>
        <v>92800</v>
      </c>
      <c r="C17" s="26" t="n">
        <f aca="false">IF(C$9&lt;='Rent roll'!$E15,'Rent roll'!$C15,IF(C$9='Rent roll'!$F15,'Rent roll'!$G15*LetFrac,IF(C$9&gt;'Rent roll'!$F15,'Rent roll'!$G15,0)))</f>
        <v>92800</v>
      </c>
      <c r="D17" s="26" t="n">
        <f aca="false">IF(D$9&lt;='Rent roll'!$E15,'Rent roll'!$C15,IF(D$9='Rent roll'!$F15,'Rent roll'!$G15*LetFrac,IF(D$9&gt;'Rent roll'!$F15,'Rent roll'!$G15,0)))</f>
        <v>92800</v>
      </c>
      <c r="E17" s="26" t="n">
        <f aca="false">IF(E$9&lt;='Rent roll'!$E15,'Rent roll'!$C15,IF(E$9='Rent roll'!$F15,'Rent roll'!$G15*LetFrac,IF(E$9&gt;'Rent roll'!$F15,'Rent roll'!$G15,0)))</f>
        <v>92800</v>
      </c>
      <c r="F17" s="26" t="n">
        <f aca="false">IF(F$9&lt;='Rent roll'!$E15,'Rent roll'!$C15,IF(F$9='Rent roll'!$F15,'Rent roll'!$G15*LetFrac,IF(F$9&gt;'Rent roll'!$F15,'Rent roll'!$G15,0)))</f>
        <v>92800</v>
      </c>
      <c r="G17" s="26" t="n">
        <f aca="false">IF(G$9&lt;='Rent roll'!$E15,'Rent roll'!$C15,IF(G$9='Rent roll'!$F15,'Rent roll'!$G15*LetFrac,IF(G$9&gt;'Rent roll'!$F15,'Rent roll'!$G15,0)))</f>
        <v>92800</v>
      </c>
      <c r="H17" s="26" t="n">
        <f aca="false">IF(H$9&lt;='Rent roll'!$E15,'Rent roll'!$C15,IF(H$9='Rent roll'!$F15,'Rent roll'!$G15*LetFrac,IF(H$9&gt;'Rent roll'!$F15,'Rent roll'!$G15,0)))</f>
        <v>92800</v>
      </c>
      <c r="I17" s="26" t="n">
        <f aca="false">IF(I$9&lt;='Rent roll'!$E15,'Rent roll'!$C15,IF(I$9='Rent roll'!$F15,'Rent roll'!$G15*LetFrac,IF(I$9&gt;'Rent roll'!$F15,'Rent roll'!$G15,0)))</f>
        <v>92800</v>
      </c>
      <c r="J17" s="26" t="n">
        <f aca="false">IF(J$9&lt;='Rent roll'!$E15,'Rent roll'!$C15,IF(J$9='Rent roll'!$F15,'Rent roll'!$G15*LetFrac,IF(J$9&gt;'Rent roll'!$F15,'Rent roll'!$G15,0)))</f>
        <v>30587.6772304617</v>
      </c>
      <c r="K17" s="26" t="n">
        <f aca="false">IF(K$9&lt;='Rent roll'!$E15,'Rent roll'!$C15,IF(K$9='Rent roll'!$F15,'Rent roll'!$G15*LetFrac,IF(K$9&gt;'Rent roll'!$F15,'Rent roll'!$G15,0)))</f>
        <v>122350.708921847</v>
      </c>
      <c r="L17" s="26" t="n">
        <f aca="false">IF(L$9&lt;='Rent roll'!$E15,'Rent roll'!$C15,IF(L$9='Rent roll'!$F15,'Rent roll'!$G15*LetFrac,IF(L$9&gt;'Rent roll'!$F15,'Rent roll'!$G15,0)))</f>
        <v>122350.708921847</v>
      </c>
    </row>
    <row r="18" customFormat="false" ht="15" hidden="false" customHeight="false" outlineLevel="0" collapsed="false">
      <c r="A18" s="7" t="str">
        <f aca="false">'Rent roll'!A16</f>
        <v>Unit 9 (empty at acquisition)</v>
      </c>
      <c r="B18" s="26" t="n">
        <f aca="false">IF(B$9&lt;='Rent roll'!$E16,'Rent roll'!$C16,IF(B$9='Rent roll'!$F16,'Rent roll'!$G16*LetFrac,IF(B$9&gt;'Rent roll'!$F16,'Rent roll'!$G16,0)))</f>
        <v>58078</v>
      </c>
      <c r="C18" s="26" t="n">
        <f aca="false">IF(C$9&lt;='Rent roll'!$E16,'Rent roll'!$C16,IF(C$9='Rent roll'!$F16,'Rent roll'!$G16*LetFrac,IF(C$9&gt;'Rent roll'!$F16,'Rent roll'!$G16,0)))</f>
        <v>232312</v>
      </c>
      <c r="D18" s="26" t="n">
        <f aca="false">IF(D$9&lt;='Rent roll'!$E16,'Rent roll'!$C16,IF(D$9='Rent roll'!$F16,'Rent roll'!$G16*LetFrac,IF(D$9&gt;'Rent roll'!$F16,'Rent roll'!$G16,0)))</f>
        <v>232312</v>
      </c>
      <c r="E18" s="26" t="n">
        <f aca="false">IF(E$9&lt;='Rent roll'!$E16,'Rent roll'!$C16,IF(E$9='Rent roll'!$F16,'Rent roll'!$G16*LetFrac,IF(E$9&gt;'Rent roll'!$F16,'Rent roll'!$G16,0)))</f>
        <v>232312</v>
      </c>
      <c r="F18" s="26" t="n">
        <f aca="false">IF(F$9&lt;='Rent roll'!$E16,'Rent roll'!$C16,IF(F$9='Rent roll'!$F16,'Rent roll'!$G16*LetFrac,IF(F$9&gt;'Rent roll'!$F16,'Rent roll'!$G16,0)))</f>
        <v>232312</v>
      </c>
      <c r="G18" s="26" t="n">
        <f aca="false">IF(G$9&lt;='Rent roll'!$E16,'Rent roll'!$C16,IF(G$9='Rent roll'!$F16,'Rent roll'!$G16*LetFrac,IF(G$9&gt;'Rent roll'!$F16,'Rent roll'!$G16,0)))</f>
        <v>232312</v>
      </c>
      <c r="H18" s="26" t="n">
        <f aca="false">IF(H$9&lt;='Rent roll'!$E16,'Rent roll'!$C16,IF(H$9='Rent roll'!$F16,'Rent roll'!$G16*LetFrac,IF(H$9&gt;'Rent roll'!$F16,'Rent roll'!$G16,0)))</f>
        <v>232312</v>
      </c>
      <c r="I18" s="26" t="n">
        <f aca="false">IF(I$9&lt;='Rent roll'!$E16,'Rent roll'!$C16,IF(I$9='Rent roll'!$F16,'Rent roll'!$G16*LetFrac,IF(I$9&gt;'Rent roll'!$F16,'Rent roll'!$G16,0)))</f>
        <v>232312</v>
      </c>
      <c r="J18" s="26" t="n">
        <f aca="false">IF(J$9&lt;='Rent roll'!$E16,'Rent roll'!$C16,IF(J$9='Rent roll'!$F16,'Rent roll'!$G16*LetFrac,IF(J$9&gt;'Rent roll'!$F16,'Rent roll'!$G16,0)))</f>
        <v>232312</v>
      </c>
      <c r="K18" s="26" t="n">
        <f aca="false">IF(K$9&lt;='Rent roll'!$E16,'Rent roll'!$C16,IF(K$9='Rent roll'!$F16,'Rent roll'!$G16*LetFrac,IF(K$9&gt;'Rent roll'!$F16,'Rent roll'!$G16,0)))</f>
        <v>232312</v>
      </c>
      <c r="L18" s="26" t="n">
        <f aca="false">IF(L$9&lt;='Rent roll'!$E16,'Rent roll'!$C16,IF(L$9='Rent roll'!$F16,'Rent roll'!$G16*LetFrac,IF(L$9&gt;'Rent roll'!$F16,'Rent roll'!$G16,0)))</f>
        <v>232312</v>
      </c>
    </row>
    <row r="19" customFormat="false" ht="15" hidden="false" customHeight="false" outlineLevel="0" collapsed="false">
      <c r="A19" s="7" t="str">
        <f aca="false">'Rent roll'!A17</f>
        <v>Unit 12 (empty at acquisition)</v>
      </c>
      <c r="B19" s="26" t="n">
        <f aca="false">IF(B$9&lt;='Rent roll'!$E17,'Rent roll'!$C17,IF(B$9='Rent roll'!$F17,'Rent roll'!$G17*LetFrac,IF(B$9&gt;'Rent roll'!$F17,'Rent roll'!$G17,0)))</f>
        <v>64417.5</v>
      </c>
      <c r="C19" s="26" t="n">
        <f aca="false">IF(C$9&lt;='Rent roll'!$E17,'Rent roll'!$C17,IF(C$9='Rent roll'!$F17,'Rent roll'!$G17*LetFrac,IF(C$9&gt;'Rent roll'!$F17,'Rent roll'!$G17,0)))</f>
        <v>257670</v>
      </c>
      <c r="D19" s="26" t="n">
        <f aca="false">IF(D$9&lt;='Rent roll'!$E17,'Rent roll'!$C17,IF(D$9='Rent roll'!$F17,'Rent roll'!$G17*LetFrac,IF(D$9&gt;'Rent roll'!$F17,'Rent roll'!$G17,0)))</f>
        <v>257670</v>
      </c>
      <c r="E19" s="26" t="n">
        <f aca="false">IF(E$9&lt;='Rent roll'!$E17,'Rent roll'!$C17,IF(E$9='Rent roll'!$F17,'Rent roll'!$G17*LetFrac,IF(E$9&gt;'Rent roll'!$F17,'Rent roll'!$G17,0)))</f>
        <v>257670</v>
      </c>
      <c r="F19" s="26" t="n">
        <f aca="false">IF(F$9&lt;='Rent roll'!$E17,'Rent roll'!$C17,IF(F$9='Rent roll'!$F17,'Rent roll'!$G17*LetFrac,IF(F$9&gt;'Rent roll'!$F17,'Rent roll'!$G17,0)))</f>
        <v>257670</v>
      </c>
      <c r="G19" s="26" t="n">
        <f aca="false">IF(G$9&lt;='Rent roll'!$E17,'Rent roll'!$C17,IF(G$9='Rent roll'!$F17,'Rent roll'!$G17*LetFrac,IF(G$9&gt;'Rent roll'!$F17,'Rent roll'!$G17,0)))</f>
        <v>257670</v>
      </c>
      <c r="H19" s="26" t="n">
        <f aca="false">IF(H$9&lt;='Rent roll'!$E17,'Rent roll'!$C17,IF(H$9='Rent roll'!$F17,'Rent roll'!$G17*LetFrac,IF(H$9&gt;'Rent roll'!$F17,'Rent roll'!$G17,0)))</f>
        <v>257670</v>
      </c>
      <c r="I19" s="26" t="n">
        <f aca="false">IF(I$9&lt;='Rent roll'!$E17,'Rent roll'!$C17,IF(I$9='Rent roll'!$F17,'Rent roll'!$G17*LetFrac,IF(I$9&gt;'Rent roll'!$F17,'Rent roll'!$G17,0)))</f>
        <v>257670</v>
      </c>
      <c r="J19" s="26" t="n">
        <f aca="false">IF(J$9&lt;='Rent roll'!$E17,'Rent roll'!$C17,IF(J$9='Rent roll'!$F17,'Rent roll'!$G17*LetFrac,IF(J$9&gt;'Rent roll'!$F17,'Rent roll'!$G17,0)))</f>
        <v>257670</v>
      </c>
      <c r="K19" s="26" t="n">
        <f aca="false">IF(K$9&lt;='Rent roll'!$E17,'Rent roll'!$C17,IF(K$9='Rent roll'!$F17,'Rent roll'!$G17*LetFrac,IF(K$9&gt;'Rent roll'!$F17,'Rent roll'!$G17,0)))</f>
        <v>257670</v>
      </c>
      <c r="L19" s="26" t="n">
        <f aca="false">IF(L$9&lt;='Rent roll'!$E17,'Rent roll'!$C17,IF(L$9='Rent roll'!$F17,'Rent roll'!$G17*LetFrac,IF(L$9&gt;'Rent roll'!$F17,'Rent roll'!$G17,0)))</f>
        <v>257670</v>
      </c>
    </row>
    <row r="20" customFormat="false" ht="15" hidden="false" customHeight="false" outlineLevel="0" collapsed="false">
      <c r="A20" s="11" t="s">
        <v>97</v>
      </c>
      <c r="B20" s="12" t="n">
        <f aca="false">SUM(B10:B19)</f>
        <v>1698395.5</v>
      </c>
      <c r="C20" s="12" t="n">
        <f aca="false">SUM(C10:C19)</f>
        <v>2065882</v>
      </c>
      <c r="D20" s="12" t="n">
        <f aca="false">SUM(D10:D19)</f>
        <v>1989265.845</v>
      </c>
      <c r="E20" s="12" t="n">
        <f aca="false">SUM(E10:E19)</f>
        <v>1939484.5671375</v>
      </c>
      <c r="F20" s="12" t="n">
        <f aca="false">SUM(F10:F19)</f>
        <v>2131366.92813113</v>
      </c>
      <c r="G20" s="12" t="n">
        <f aca="false">SUM(G10:G19)</f>
        <v>2100975.6380119</v>
      </c>
      <c r="H20" s="12" t="n">
        <f aca="false">SUM(H10:H19)</f>
        <v>2276674.5714241</v>
      </c>
      <c r="I20" s="12" t="n">
        <f aca="false">SUM(I10:I19)</f>
        <v>1951410.48718809</v>
      </c>
      <c r="J20" s="12" t="n">
        <f aca="false">SUM(J10:J19)</f>
        <v>2330905.91171051</v>
      </c>
      <c r="K20" s="12" t="n">
        <f aca="false">SUM(K10:K19)</f>
        <v>2273213.43707028</v>
      </c>
      <c r="L20" s="12" t="n">
        <f aca="false">SUM(L10:L19)</f>
        <v>2513646.91807541</v>
      </c>
    </row>
    <row r="22" customFormat="false" ht="15" hidden="false" customHeight="false" outlineLevel="0" collapsed="false">
      <c r="A22" s="4" t="s">
        <v>98</v>
      </c>
      <c r="B22" s="6"/>
      <c r="C22" s="6"/>
      <c r="D22" s="6"/>
      <c r="E22" s="6"/>
      <c r="F22" s="6"/>
      <c r="G22" s="6"/>
      <c r="H22" s="6"/>
      <c r="I22" s="6"/>
      <c r="J22" s="6"/>
      <c r="K22" s="6"/>
      <c r="L22" s="6"/>
    </row>
    <row r="24" customFormat="false" ht="15" hidden="false" customHeight="false" outlineLevel="0" collapsed="false">
      <c r="A24" s="0" t="str">
        <f aca="false">'Rent roll'!A8</f>
        <v>Ardgour Logistics</v>
      </c>
      <c r="B24" s="26" t="n">
        <f aca="false">IF(B$9='Rent roll'!$F8,'Rent roll'!$H8,0)</f>
        <v>0</v>
      </c>
      <c r="C24" s="26" t="n">
        <f aca="false">IF(C$9='Rent roll'!$F8,'Rent roll'!$H8,0)</f>
        <v>0</v>
      </c>
      <c r="D24" s="26" t="n">
        <f aca="false">IF(D$9='Rent roll'!$F8,'Rent roll'!$H8,0)</f>
        <v>0</v>
      </c>
      <c r="E24" s="26" t="n">
        <f aca="false">IF(E$9='Rent roll'!$F8,'Rent roll'!$H8,0)</f>
        <v>0</v>
      </c>
      <c r="F24" s="26" t="n">
        <f aca="false">IF(F$9='Rent roll'!$F8,'Rent roll'!$H8,0)</f>
        <v>0</v>
      </c>
      <c r="G24" s="26" t="n">
        <f aca="false">IF(G$9='Rent roll'!$F8,'Rent roll'!$H8,0)</f>
        <v>0</v>
      </c>
      <c r="H24" s="26" t="n">
        <f aca="false">IF(H$9='Rent roll'!$F8,'Rent roll'!$H8,0)</f>
        <v>0</v>
      </c>
      <c r="I24" s="26" t="n">
        <f aca="false">IF(I$9='Rent roll'!$F8,'Rent roll'!$H8,0)</f>
        <v>88341.5494583934</v>
      </c>
      <c r="J24" s="26" t="n">
        <f aca="false">IF(J$9='Rent roll'!$F8,'Rent roll'!$H8,0)</f>
        <v>0</v>
      </c>
      <c r="K24" s="26" t="n">
        <f aca="false">IF(K$9='Rent roll'!$F8,'Rent roll'!$H8,0)</f>
        <v>0</v>
      </c>
      <c r="L24" s="26" t="n">
        <f aca="false">IF(L$9='Rent roll'!$F8,'Rent roll'!$H8,0)</f>
        <v>0</v>
      </c>
    </row>
    <row r="25" customFormat="false" ht="15" hidden="false" customHeight="false" outlineLevel="0" collapsed="false">
      <c r="A25" s="0" t="str">
        <f aca="false">'Rent roll'!A9</f>
        <v>Kilmory Print</v>
      </c>
      <c r="B25" s="26" t="n">
        <f aca="false">IF(B$9='Rent roll'!$F9,'Rent roll'!$H9,0)</f>
        <v>0</v>
      </c>
      <c r="C25" s="26" t="n">
        <f aca="false">IF(C$9='Rent roll'!$F9,'Rent roll'!$H9,0)</f>
        <v>0</v>
      </c>
      <c r="D25" s="26" t="n">
        <f aca="false">IF(D$9='Rent roll'!$F9,'Rent roll'!$H9,0)</f>
        <v>0</v>
      </c>
      <c r="E25" s="26" t="n">
        <f aca="false">IF(E$9='Rent roll'!$F9,'Rent roll'!$H9,0)</f>
        <v>50800.3122825</v>
      </c>
      <c r="F25" s="26" t="n">
        <f aca="false">IF(F$9='Rent roll'!$F9,'Rent roll'!$H9,0)</f>
        <v>0</v>
      </c>
      <c r="G25" s="26" t="n">
        <f aca="false">IF(G$9='Rent roll'!$F9,'Rent roll'!$H9,0)</f>
        <v>0</v>
      </c>
      <c r="H25" s="26" t="n">
        <f aca="false">IF(H$9='Rent roll'!$F9,'Rent roll'!$H9,0)</f>
        <v>0</v>
      </c>
      <c r="I25" s="26" t="n">
        <f aca="false">IF(I$9='Rent roll'!$F9,'Rent roll'!$H9,0)</f>
        <v>0</v>
      </c>
      <c r="J25" s="26" t="n">
        <f aca="false">IF(J$9='Rent roll'!$F9,'Rent roll'!$H9,0)</f>
        <v>0</v>
      </c>
      <c r="K25" s="26" t="n">
        <f aca="false">IF(K$9='Rent roll'!$F9,'Rent roll'!$H9,0)</f>
        <v>0</v>
      </c>
      <c r="L25" s="26" t="n">
        <f aca="false">IF(L$9='Rent roll'!$F9,'Rent roll'!$H9,0)</f>
        <v>0</v>
      </c>
    </row>
    <row r="26" customFormat="false" ht="15" hidden="false" customHeight="false" outlineLevel="0" collapsed="false">
      <c r="A26" s="0" t="str">
        <f aca="false">'Rent roll'!A10</f>
        <v>Tannoch Foods</v>
      </c>
      <c r="B26" s="26" t="n">
        <f aca="false">IF(B$9='Rent roll'!$F10,'Rent roll'!$H10,0)</f>
        <v>0</v>
      </c>
      <c r="C26" s="26" t="n">
        <f aca="false">IF(C$9='Rent roll'!$F10,'Rent roll'!$H10,0)</f>
        <v>0</v>
      </c>
      <c r="D26" s="26" t="n">
        <f aca="false">IF(D$9='Rent roll'!$F10,'Rent roll'!$H10,0)</f>
        <v>0</v>
      </c>
      <c r="E26" s="26" t="n">
        <f aca="false">IF(E$9='Rent roll'!$F10,'Rent roll'!$H10,0)</f>
        <v>0</v>
      </c>
      <c r="F26" s="26" t="n">
        <f aca="false">IF(F$9='Rent roll'!$F10,'Rent roll'!$H10,0)</f>
        <v>0</v>
      </c>
      <c r="G26" s="26" t="n">
        <f aca="false">IF(G$9='Rent roll'!$F10,'Rent roll'!$H10,0)</f>
        <v>0</v>
      </c>
      <c r="H26" s="26" t="n">
        <f aca="false">IF(H$9='Rent roll'!$F10,'Rent roll'!$H10,0)</f>
        <v>0</v>
      </c>
      <c r="I26" s="26" t="n">
        <f aca="false">IF(I$9='Rent roll'!$F10,'Rent roll'!$H10,0)</f>
        <v>0</v>
      </c>
      <c r="J26" s="26" t="n">
        <f aca="false">IF(J$9='Rent roll'!$F10,'Rent roll'!$H10,0)</f>
        <v>0</v>
      </c>
      <c r="K26" s="26" t="n">
        <f aca="false">IF(K$9='Rent roll'!$F10,'Rent roll'!$H10,0)</f>
        <v>48086.6962010262</v>
      </c>
      <c r="L26" s="26" t="n">
        <f aca="false">IF(L$9='Rent roll'!$F10,'Rent roll'!$H10,0)</f>
        <v>0</v>
      </c>
    </row>
    <row r="27" customFormat="false" ht="15" hidden="false" customHeight="false" outlineLevel="0" collapsed="false">
      <c r="A27" s="0" t="str">
        <f aca="false">'Rent roll'!A11</f>
        <v>Struan Instruments</v>
      </c>
      <c r="B27" s="26" t="n">
        <f aca="false">IF(B$9='Rent roll'!$F11,'Rent roll'!$H11,0)</f>
        <v>0</v>
      </c>
      <c r="C27" s="26" t="n">
        <f aca="false">IF(C$9='Rent roll'!$F11,'Rent roll'!$H11,0)</f>
        <v>0</v>
      </c>
      <c r="D27" s="26" t="n">
        <f aca="false">IF(D$9='Rent roll'!$F11,'Rent roll'!$H11,0)</f>
        <v>0</v>
      </c>
      <c r="E27" s="26" t="n">
        <f aca="false">IF(E$9='Rent roll'!$F11,'Rent roll'!$H11,0)</f>
        <v>0</v>
      </c>
      <c r="F27" s="26" t="n">
        <f aca="false">IF(F$9='Rent roll'!$F11,'Rent roll'!$H11,0)</f>
        <v>0</v>
      </c>
      <c r="G27" s="26" t="n">
        <f aca="false">IF(G$9='Rent roll'!$F11,'Rent roll'!$H11,0)</f>
        <v>35139.7866824395</v>
      </c>
      <c r="H27" s="26" t="n">
        <f aca="false">IF(H$9='Rent roll'!$F11,'Rent roll'!$H11,0)</f>
        <v>0</v>
      </c>
      <c r="I27" s="26" t="n">
        <f aca="false">IF(I$9='Rent roll'!$F11,'Rent roll'!$H11,0)</f>
        <v>0</v>
      </c>
      <c r="J27" s="26" t="n">
        <f aca="false">IF(J$9='Rent roll'!$F11,'Rent roll'!$H11,0)</f>
        <v>0</v>
      </c>
      <c r="K27" s="26" t="n">
        <f aca="false">IF(K$9='Rent roll'!$F11,'Rent roll'!$H11,0)</f>
        <v>0</v>
      </c>
      <c r="L27" s="26" t="n">
        <f aca="false">IF(L$9='Rent roll'!$F11,'Rent roll'!$H11,0)</f>
        <v>0</v>
      </c>
    </row>
    <row r="28" customFormat="false" ht="15" hidden="false" customHeight="false" outlineLevel="0" collapsed="false">
      <c r="A28" s="0" t="str">
        <f aca="false">'Rent roll'!A12</f>
        <v>Balvaig Textiles</v>
      </c>
      <c r="B28" s="26" t="n">
        <f aca="false">IF(B$9='Rent roll'!$F12,'Rent roll'!$H12,0)</f>
        <v>0</v>
      </c>
      <c r="C28" s="26" t="n">
        <f aca="false">IF(C$9='Rent roll'!$F12,'Rent roll'!$H12,0)</f>
        <v>0</v>
      </c>
      <c r="D28" s="26" t="n">
        <f aca="false">IF(D$9='Rent roll'!$F12,'Rent roll'!$H12,0)</f>
        <v>24590.307</v>
      </c>
      <c r="E28" s="26" t="n">
        <f aca="false">IF(E$9='Rent roll'!$F12,'Rent roll'!$H12,0)</f>
        <v>0</v>
      </c>
      <c r="F28" s="26" t="n">
        <f aca="false">IF(F$9='Rent roll'!$F12,'Rent roll'!$H12,0)</f>
        <v>0</v>
      </c>
      <c r="G28" s="26" t="n">
        <f aca="false">IF(G$9='Rent roll'!$F12,'Rent roll'!$H12,0)</f>
        <v>0</v>
      </c>
      <c r="H28" s="26" t="n">
        <f aca="false">IF(H$9='Rent roll'!$F12,'Rent roll'!$H12,0)</f>
        <v>0</v>
      </c>
      <c r="I28" s="26" t="n">
        <f aca="false">IF(I$9='Rent roll'!$F12,'Rent roll'!$H12,0)</f>
        <v>0</v>
      </c>
      <c r="J28" s="26" t="n">
        <f aca="false">IF(J$9='Rent roll'!$F12,'Rent roll'!$H12,0)</f>
        <v>0</v>
      </c>
      <c r="K28" s="26" t="n">
        <f aca="false">IF(K$9='Rent roll'!$F12,'Rent roll'!$H12,0)</f>
        <v>0</v>
      </c>
      <c r="L28" s="26" t="n">
        <f aca="false">IF(L$9='Rent roll'!$F12,'Rent roll'!$H12,0)</f>
        <v>0</v>
      </c>
    </row>
    <row r="29" customFormat="false" ht="15" hidden="false" customHeight="false" outlineLevel="0" collapsed="false">
      <c r="A29" s="0" t="str">
        <f aca="false">'Rent roll'!A13</f>
        <v>Corrour Systems</v>
      </c>
      <c r="B29" s="26" t="n">
        <f aca="false">IF(B$9='Rent roll'!$F13,'Rent roll'!$H13,0)</f>
        <v>0</v>
      </c>
      <c r="C29" s="26" t="n">
        <f aca="false">IF(C$9='Rent roll'!$F13,'Rent roll'!$H13,0)</f>
        <v>0</v>
      </c>
      <c r="D29" s="26" t="n">
        <f aca="false">IF(D$9='Rent roll'!$F13,'Rent roll'!$H13,0)</f>
        <v>0</v>
      </c>
      <c r="E29" s="26" t="n">
        <f aca="false">IF(E$9='Rent roll'!$F13,'Rent roll'!$H13,0)</f>
        <v>0</v>
      </c>
      <c r="F29" s="26" t="n">
        <f aca="false">IF(F$9='Rent roll'!$F13,'Rent roll'!$H13,0)</f>
        <v>0</v>
      </c>
      <c r="G29" s="26" t="n">
        <f aca="false">IF(G$9='Rent roll'!$F13,'Rent roll'!$H13,0)</f>
        <v>0</v>
      </c>
      <c r="H29" s="26" t="n">
        <f aca="false">IF(H$9='Rent roll'!$F13,'Rent roll'!$H13,0)</f>
        <v>0</v>
      </c>
      <c r="I29" s="26" t="n">
        <f aca="false">IF(I$9='Rent roll'!$F13,'Rent roll'!$H13,0)</f>
        <v>0</v>
      </c>
      <c r="J29" s="26" t="n">
        <f aca="false">IF(J$9='Rent roll'!$F13,'Rent roll'!$H13,0)</f>
        <v>0</v>
      </c>
      <c r="K29" s="26" t="n">
        <f aca="false">IF(K$9='Rent roll'!$F13,'Rent roll'!$H13,0)</f>
        <v>0</v>
      </c>
      <c r="L29" s="26" t="n">
        <f aca="false">IF(L$9='Rent roll'!$F13,'Rent roll'!$H13,0)</f>
        <v>0</v>
      </c>
    </row>
    <row r="30" customFormat="false" ht="15" hidden="false" customHeight="false" outlineLevel="0" collapsed="false">
      <c r="A30" s="0" t="str">
        <f aca="false">'Rent roll'!A14</f>
        <v>Dunardry Media</v>
      </c>
      <c r="B30" s="26" t="n">
        <f aca="false">IF(B$9='Rent roll'!$F14,'Rent roll'!$H14,0)</f>
        <v>0</v>
      </c>
      <c r="C30" s="26" t="n">
        <f aca="false">IF(C$9='Rent roll'!$F14,'Rent roll'!$H14,0)</f>
        <v>0</v>
      </c>
      <c r="D30" s="26" t="n">
        <f aca="false">IF(D$9='Rent roll'!$F14,'Rent roll'!$H14,0)</f>
        <v>0</v>
      </c>
      <c r="E30" s="26" t="n">
        <f aca="false">IF(E$9='Rent roll'!$F14,'Rent roll'!$H14,0)</f>
        <v>0</v>
      </c>
      <c r="F30" s="26" t="n">
        <f aca="false">IF(F$9='Rent roll'!$F14,'Rent roll'!$H14,0)</f>
        <v>18888.479748675</v>
      </c>
      <c r="G30" s="26" t="n">
        <f aca="false">IF(G$9='Rent roll'!$F14,'Rent roll'!$H14,0)</f>
        <v>0</v>
      </c>
      <c r="H30" s="26" t="n">
        <f aca="false">IF(H$9='Rent roll'!$F14,'Rent roll'!$H14,0)</f>
        <v>0</v>
      </c>
      <c r="I30" s="26" t="n">
        <f aca="false">IF(I$9='Rent roll'!$F14,'Rent roll'!$H14,0)</f>
        <v>0</v>
      </c>
      <c r="J30" s="26" t="n">
        <f aca="false">IF(J$9='Rent roll'!$F14,'Rent roll'!$H14,0)</f>
        <v>0</v>
      </c>
      <c r="K30" s="26" t="n">
        <f aca="false">IF(K$9='Rent roll'!$F14,'Rent roll'!$H14,0)</f>
        <v>0</v>
      </c>
      <c r="L30" s="26" t="n">
        <f aca="false">IF(L$9='Rent roll'!$F14,'Rent roll'!$H14,0)</f>
        <v>0</v>
      </c>
    </row>
    <row r="31" customFormat="false" ht="15" hidden="false" customHeight="false" outlineLevel="0" collapsed="false">
      <c r="A31" s="0" t="str">
        <f aca="false">'Rent roll'!A15</f>
        <v>Eilanreach Labs</v>
      </c>
      <c r="B31" s="26" t="n">
        <f aca="false">IF(B$9='Rent roll'!$F15,'Rent roll'!$H15,0)</f>
        <v>0</v>
      </c>
      <c r="C31" s="26" t="n">
        <f aca="false">IF(C$9='Rent roll'!$F15,'Rent roll'!$H15,0)</f>
        <v>0</v>
      </c>
      <c r="D31" s="26" t="n">
        <f aca="false">IF(D$9='Rent roll'!$F15,'Rent roll'!$H15,0)</f>
        <v>0</v>
      </c>
      <c r="E31" s="26" t="n">
        <f aca="false">IF(E$9='Rent roll'!$F15,'Rent roll'!$H15,0)</f>
        <v>0</v>
      </c>
      <c r="F31" s="26" t="n">
        <f aca="false">IF(F$9='Rent roll'!$F15,'Rent roll'!$H15,0)</f>
        <v>0</v>
      </c>
      <c r="G31" s="26" t="n">
        <f aca="false">IF(G$9='Rent roll'!$F15,'Rent roll'!$H15,0)</f>
        <v>0</v>
      </c>
      <c r="H31" s="26" t="n">
        <f aca="false">IF(H$9='Rent roll'!$F15,'Rent roll'!$H15,0)</f>
        <v>0</v>
      </c>
      <c r="I31" s="26" t="n">
        <f aca="false">IF(I$9='Rent roll'!$F15,'Rent roll'!$H15,0)</f>
        <v>0</v>
      </c>
      <c r="J31" s="26" t="n">
        <f aca="false">IF(J$9='Rent roll'!$F15,'Rent roll'!$H15,0)</f>
        <v>18352.606338277</v>
      </c>
      <c r="K31" s="26" t="n">
        <f aca="false">IF(K$9='Rent roll'!$F15,'Rent roll'!$H15,0)</f>
        <v>0</v>
      </c>
      <c r="L31" s="26" t="n">
        <f aca="false">IF(L$9='Rent roll'!$F15,'Rent roll'!$H15,0)</f>
        <v>0</v>
      </c>
    </row>
    <row r="32" customFormat="false" ht="15" hidden="false" customHeight="false" outlineLevel="0" collapsed="false">
      <c r="A32" s="0" t="str">
        <f aca="false">'Rent roll'!A16</f>
        <v>Unit 9 (empty at acquisition)</v>
      </c>
      <c r="B32" s="26" t="n">
        <f aca="false">IF(B$9='Rent roll'!$F16,'Rent roll'!$H16,0)</f>
        <v>34846.8</v>
      </c>
      <c r="C32" s="26" t="n">
        <f aca="false">IF(C$9='Rent roll'!$F16,'Rent roll'!$H16,0)</f>
        <v>0</v>
      </c>
      <c r="D32" s="26" t="n">
        <f aca="false">IF(D$9='Rent roll'!$F16,'Rent roll'!$H16,0)</f>
        <v>0</v>
      </c>
      <c r="E32" s="26" t="n">
        <f aca="false">IF(E$9='Rent roll'!$F16,'Rent roll'!$H16,0)</f>
        <v>0</v>
      </c>
      <c r="F32" s="26" t="n">
        <f aca="false">IF(F$9='Rent roll'!$F16,'Rent roll'!$H16,0)</f>
        <v>0</v>
      </c>
      <c r="G32" s="26" t="n">
        <f aca="false">IF(G$9='Rent roll'!$F16,'Rent roll'!$H16,0)</f>
        <v>0</v>
      </c>
      <c r="H32" s="26" t="n">
        <f aca="false">IF(H$9='Rent roll'!$F16,'Rent roll'!$H16,0)</f>
        <v>0</v>
      </c>
      <c r="I32" s="26" t="n">
        <f aca="false">IF(I$9='Rent roll'!$F16,'Rent roll'!$H16,0)</f>
        <v>0</v>
      </c>
      <c r="J32" s="26" t="n">
        <f aca="false">IF(J$9='Rent roll'!$F16,'Rent roll'!$H16,0)</f>
        <v>0</v>
      </c>
      <c r="K32" s="26" t="n">
        <f aca="false">IF(K$9='Rent roll'!$F16,'Rent roll'!$H16,0)</f>
        <v>0</v>
      </c>
      <c r="L32" s="26" t="n">
        <f aca="false">IF(L$9='Rent roll'!$F16,'Rent roll'!$H16,0)</f>
        <v>0</v>
      </c>
    </row>
    <row r="33" customFormat="false" ht="15" hidden="false" customHeight="false" outlineLevel="0" collapsed="false">
      <c r="A33" s="0" t="str">
        <f aca="false">'Rent roll'!A17</f>
        <v>Unit 12 (empty at acquisition)</v>
      </c>
      <c r="B33" s="26" t="n">
        <f aca="false">IF(B$9='Rent roll'!$F17,'Rent roll'!$H17,0)</f>
        <v>38650.5</v>
      </c>
      <c r="C33" s="26" t="n">
        <f aca="false">IF(C$9='Rent roll'!$F17,'Rent roll'!$H17,0)</f>
        <v>0</v>
      </c>
      <c r="D33" s="26" t="n">
        <f aca="false">IF(D$9='Rent roll'!$F17,'Rent roll'!$H17,0)</f>
        <v>0</v>
      </c>
      <c r="E33" s="26" t="n">
        <f aca="false">IF(E$9='Rent roll'!$F17,'Rent roll'!$H17,0)</f>
        <v>0</v>
      </c>
      <c r="F33" s="26" t="n">
        <f aca="false">IF(F$9='Rent roll'!$F17,'Rent roll'!$H17,0)</f>
        <v>0</v>
      </c>
      <c r="G33" s="26" t="n">
        <f aca="false">IF(G$9='Rent roll'!$F17,'Rent roll'!$H17,0)</f>
        <v>0</v>
      </c>
      <c r="H33" s="26" t="n">
        <f aca="false">IF(H$9='Rent roll'!$F17,'Rent roll'!$H17,0)</f>
        <v>0</v>
      </c>
      <c r="I33" s="26" t="n">
        <f aca="false">IF(I$9='Rent roll'!$F17,'Rent roll'!$H17,0)</f>
        <v>0</v>
      </c>
      <c r="J33" s="26" t="n">
        <f aca="false">IF(J$9='Rent roll'!$F17,'Rent roll'!$H17,0)</f>
        <v>0</v>
      </c>
      <c r="K33" s="26" t="n">
        <f aca="false">IF(K$9='Rent roll'!$F17,'Rent roll'!$H17,0)</f>
        <v>0</v>
      </c>
      <c r="L33" s="26" t="n">
        <f aca="false">IF(L$9='Rent roll'!$F17,'Rent roll'!$H17,0)</f>
        <v>0</v>
      </c>
    </row>
    <row r="34" customFormat="false" ht="15" hidden="false" customHeight="false" outlineLevel="0" collapsed="false">
      <c r="A34" s="11" t="s">
        <v>99</v>
      </c>
      <c r="B34" s="12" t="n">
        <f aca="false">SUM(B24:B33)</f>
        <v>73497.3</v>
      </c>
      <c r="C34" s="12" t="n">
        <f aca="false">SUM(C24:C33)</f>
        <v>0</v>
      </c>
      <c r="D34" s="12" t="n">
        <f aca="false">SUM(D24:D33)</f>
        <v>24590.307</v>
      </c>
      <c r="E34" s="12" t="n">
        <f aca="false">SUM(E24:E33)</f>
        <v>50800.3122825</v>
      </c>
      <c r="F34" s="12" t="n">
        <f aca="false">SUM(F24:F33)</f>
        <v>18888.479748675</v>
      </c>
      <c r="G34" s="12" t="n">
        <f aca="false">SUM(G24:G33)</f>
        <v>35139.7866824395</v>
      </c>
      <c r="H34" s="12" t="n">
        <f aca="false">SUM(H24:H33)</f>
        <v>0</v>
      </c>
      <c r="I34" s="12" t="n">
        <f aca="false">SUM(I24:I33)</f>
        <v>88341.5494583934</v>
      </c>
      <c r="J34" s="12" t="n">
        <f aca="false">SUM(J24:J33)</f>
        <v>18352.606338277</v>
      </c>
      <c r="K34" s="12" t="n">
        <f aca="false">SUM(K24:K33)</f>
        <v>48086.6962010262</v>
      </c>
      <c r="L34" s="12" t="n">
        <f aca="false">SUM(L24:L33)</f>
        <v>0</v>
      </c>
    </row>
    <row r="35" customFormat="false" ht="15" hidden="false" customHeight="false" outlineLevel="0" collapsed="false">
      <c r="A35" s="11" t="s">
        <v>100</v>
      </c>
      <c r="B35" s="12" t="n">
        <f aca="false">SUM(B34:L34)</f>
        <v>357697.037711311</v>
      </c>
    </row>
    <row r="37" customFormat="false" ht="15" hidden="false" customHeight="false" outlineLevel="0" collapsed="false">
      <c r="A37" s="4" t="s">
        <v>101</v>
      </c>
      <c r="B37" s="6"/>
      <c r="C37" s="6"/>
      <c r="D37" s="6"/>
      <c r="E37" s="6"/>
      <c r="F37" s="6"/>
      <c r="G37" s="6"/>
      <c r="H37" s="6"/>
      <c r="I37" s="6"/>
      <c r="J37" s="6"/>
      <c r="K37" s="6"/>
      <c r="L37" s="6"/>
    </row>
    <row r="39" customFormat="false" ht="15" hidden="false" customHeight="false" outlineLevel="0" collapsed="false">
      <c r="A39" s="24" t="s">
        <v>55</v>
      </c>
      <c r="B39" s="25" t="n">
        <v>1</v>
      </c>
      <c r="C39" s="25" t="n">
        <f aca="false">B39+1</f>
        <v>2</v>
      </c>
      <c r="D39" s="25" t="n">
        <f aca="false">C39+1</f>
        <v>3</v>
      </c>
      <c r="E39" s="25" t="n">
        <f aca="false">D39+1</f>
        <v>4</v>
      </c>
      <c r="F39" s="25" t="n">
        <f aca="false">E39+1</f>
        <v>5</v>
      </c>
      <c r="G39" s="25" t="n">
        <f aca="false">F39+1</f>
        <v>6</v>
      </c>
      <c r="H39" s="25" t="n">
        <f aca="false">G39+1</f>
        <v>7</v>
      </c>
      <c r="I39" s="25" t="n">
        <f aca="false">H39+1</f>
        <v>8</v>
      </c>
      <c r="J39" s="25" t="n">
        <f aca="false">I39+1</f>
        <v>9</v>
      </c>
      <c r="K39" s="25" t="n">
        <f aca="false">J39+1</f>
        <v>10</v>
      </c>
      <c r="L39" s="25" t="n">
        <f aca="false">K39+1</f>
        <v>11</v>
      </c>
    </row>
    <row r="40" customFormat="false" ht="15" hidden="false" customHeight="false" outlineLevel="0" collapsed="false">
      <c r="A40" s="7" t="s">
        <v>102</v>
      </c>
      <c r="B40" s="26" t="n">
        <f aca="false">B20</f>
        <v>1698395.5</v>
      </c>
      <c r="C40" s="26" t="n">
        <f aca="false">C20</f>
        <v>2065882</v>
      </c>
      <c r="D40" s="26" t="n">
        <f aca="false">D20</f>
        <v>1989265.845</v>
      </c>
      <c r="E40" s="26" t="n">
        <f aca="false">E20</f>
        <v>1939484.5671375</v>
      </c>
      <c r="F40" s="26" t="n">
        <f aca="false">F20</f>
        <v>2131366.92813113</v>
      </c>
      <c r="G40" s="26" t="n">
        <f aca="false">G20</f>
        <v>2100975.6380119</v>
      </c>
      <c r="H40" s="26" t="n">
        <f aca="false">H20</f>
        <v>2276674.5714241</v>
      </c>
      <c r="I40" s="26" t="n">
        <f aca="false">I20</f>
        <v>1951410.48718809</v>
      </c>
      <c r="J40" s="26" t="n">
        <f aca="false">J20</f>
        <v>2330905.91171051</v>
      </c>
      <c r="K40" s="26" t="n">
        <f aca="false">K20</f>
        <v>2273213.43707028</v>
      </c>
      <c r="L40" s="26" t="n">
        <f aca="false">L20</f>
        <v>2513646.91807541</v>
      </c>
    </row>
    <row r="41" customFormat="false" ht="15" hidden="false" customHeight="false" outlineLevel="0" collapsed="false">
      <c r="A41" s="7" t="s">
        <v>103</v>
      </c>
      <c r="B41" s="26" t="n">
        <f aca="false">B20*NonRec</f>
        <v>28023.52575</v>
      </c>
      <c r="C41" s="26" t="n">
        <f aca="false">C20*NonRec</f>
        <v>34087.053</v>
      </c>
      <c r="D41" s="26" t="n">
        <f aca="false">D20*NonRec</f>
        <v>32822.8864425</v>
      </c>
      <c r="E41" s="26" t="n">
        <f aca="false">E20*NonRec</f>
        <v>32001.4953577688</v>
      </c>
      <c r="F41" s="26" t="n">
        <f aca="false">F20*NonRec</f>
        <v>35167.5543141636</v>
      </c>
      <c r="G41" s="26" t="n">
        <f aca="false">G20*NonRec</f>
        <v>34666.0980271963</v>
      </c>
      <c r="H41" s="26" t="n">
        <f aca="false">H20*NonRec</f>
        <v>37565.1304284976</v>
      </c>
      <c r="I41" s="26" t="n">
        <f aca="false">I20*NonRec</f>
        <v>32198.2730386034</v>
      </c>
      <c r="J41" s="26" t="n">
        <f aca="false">J20*NonRec</f>
        <v>38459.9475432235</v>
      </c>
      <c r="K41" s="26" t="n">
        <f aca="false">K20*NonRec</f>
        <v>37508.0217116596</v>
      </c>
      <c r="L41" s="26" t="n">
        <f aca="false">L20*NonRec</f>
        <v>41475.1741482442</v>
      </c>
    </row>
    <row r="42" customFormat="false" ht="15" hidden="false" customHeight="false" outlineLevel="0" collapsed="false">
      <c r="A42" s="7" t="s">
        <v>104</v>
      </c>
      <c r="B42" s="26" t="n">
        <f aca="false">B20*MgmtFee</f>
        <v>12737.96625</v>
      </c>
      <c r="C42" s="26" t="n">
        <f aca="false">C20*MgmtFee</f>
        <v>15494.115</v>
      </c>
      <c r="D42" s="26" t="n">
        <f aca="false">D20*MgmtFee</f>
        <v>14919.4938375</v>
      </c>
      <c r="E42" s="26" t="n">
        <f aca="false">E20*MgmtFee</f>
        <v>14546.1342535313</v>
      </c>
      <c r="F42" s="26" t="n">
        <f aca="false">F20*MgmtFee</f>
        <v>15985.2519609834</v>
      </c>
      <c r="G42" s="26" t="n">
        <f aca="false">G20*MgmtFee</f>
        <v>15757.3172850892</v>
      </c>
      <c r="H42" s="26" t="n">
        <f aca="false">H20*MgmtFee</f>
        <v>17075.0592856807</v>
      </c>
      <c r="I42" s="26" t="n">
        <f aca="false">I20*MgmtFee</f>
        <v>14635.5786539106</v>
      </c>
      <c r="J42" s="26" t="n">
        <f aca="false">J20*MgmtFee</f>
        <v>17481.7943378289</v>
      </c>
      <c r="K42" s="26" t="n">
        <f aca="false">K20*MgmtFee</f>
        <v>17049.1007780271</v>
      </c>
      <c r="L42" s="26" t="n">
        <f aca="false">L20*MgmtFee</f>
        <v>18852.3518855656</v>
      </c>
    </row>
    <row r="43" customFormat="false" ht="15" hidden="false" customHeight="false" outlineLevel="0" collapsed="false">
      <c r="A43" s="11" t="s">
        <v>105</v>
      </c>
      <c r="B43" s="12" t="n">
        <f aca="false">B20-B41-B42</f>
        <v>1657634.008</v>
      </c>
      <c r="C43" s="12" t="n">
        <f aca="false">C20-C41-C42</f>
        <v>2016300.832</v>
      </c>
      <c r="D43" s="12" t="n">
        <f aca="false">D20-D41-D42</f>
        <v>1941523.46472</v>
      </c>
      <c r="E43" s="12" t="n">
        <f aca="false">E20-E41-E42</f>
        <v>1892936.9375262</v>
      </c>
      <c r="F43" s="12" t="n">
        <f aca="false">F20-F41-F42</f>
        <v>2080214.12185598</v>
      </c>
      <c r="G43" s="12" t="n">
        <f aca="false">G20-G41-G42</f>
        <v>2050552.22269961</v>
      </c>
      <c r="H43" s="12" t="n">
        <f aca="false">H20-H41-H42</f>
        <v>2222034.38170992</v>
      </c>
      <c r="I43" s="12" t="n">
        <f aca="false">I20-I41-I42</f>
        <v>1904576.63549557</v>
      </c>
      <c r="J43" s="12" t="n">
        <f aca="false">J20-J41-J42</f>
        <v>2274964.16982946</v>
      </c>
      <c r="K43" s="12" t="n">
        <f aca="false">K20-K41-K42</f>
        <v>2218656.31458059</v>
      </c>
      <c r="L43" s="12" t="n">
        <f aca="false">L20-L41-L42</f>
        <v>2453319.3920416</v>
      </c>
    </row>
    <row r="44" customFormat="false" ht="15" hidden="false" customHeight="false" outlineLevel="0" collapsed="false">
      <c r="A44" s="7" t="s">
        <v>106</v>
      </c>
      <c r="B44" s="26" t="n">
        <f aca="false">B34</f>
        <v>73497.3</v>
      </c>
      <c r="C44" s="26" t="n">
        <f aca="false">C34</f>
        <v>0</v>
      </c>
      <c r="D44" s="26" t="n">
        <f aca="false">D34</f>
        <v>24590.307</v>
      </c>
      <c r="E44" s="26" t="n">
        <f aca="false">E34</f>
        <v>50800.3122825</v>
      </c>
      <c r="F44" s="26" t="n">
        <f aca="false">F34</f>
        <v>18888.479748675</v>
      </c>
      <c r="G44" s="26" t="n">
        <f aca="false">G34</f>
        <v>35139.7866824395</v>
      </c>
      <c r="H44" s="26" t="n">
        <f aca="false">H34</f>
        <v>0</v>
      </c>
      <c r="I44" s="26" t="n">
        <f aca="false">I34</f>
        <v>88341.5494583934</v>
      </c>
      <c r="J44" s="26" t="n">
        <f aca="false">J34</f>
        <v>18352.606338277</v>
      </c>
      <c r="K44" s="26" t="n">
        <f aca="false">K34</f>
        <v>48086.6962010262</v>
      </c>
      <c r="L44" s="26" t="n">
        <f aca="false">L34</f>
        <v>0</v>
      </c>
    </row>
    <row r="45" customFormat="false" ht="15" hidden="false" customHeight="false" outlineLevel="0" collapsed="false">
      <c r="A45" s="7" t="s">
        <v>107</v>
      </c>
      <c r="B45" s="26" t="n">
        <f aca="false">SUMIF(CapexYr,B$9,CapexAmt)</f>
        <v>1850000</v>
      </c>
      <c r="C45" s="26" t="n">
        <f aca="false">SUMIF(CapexYr,C$9,CapexAmt)</f>
        <v>940000</v>
      </c>
      <c r="D45" s="26" t="n">
        <f aca="false">SUMIF(CapexYr,D$9,CapexAmt)</f>
        <v>610000</v>
      </c>
      <c r="E45" s="26" t="n">
        <f aca="false">SUMIF(CapexYr,E$9,CapexAmt)</f>
        <v>0</v>
      </c>
      <c r="F45" s="26" t="n">
        <f aca="false">SUMIF(CapexYr,F$9,CapexAmt)</f>
        <v>0</v>
      </c>
      <c r="G45" s="26" t="n">
        <f aca="false">SUMIF(CapexYr,G$9,CapexAmt)</f>
        <v>0</v>
      </c>
      <c r="H45" s="26" t="n">
        <f aca="false">SUMIF(CapexYr,H$9,CapexAmt)</f>
        <v>0</v>
      </c>
      <c r="I45" s="26" t="n">
        <f aca="false">SUMIF(CapexYr,I$9,CapexAmt)</f>
        <v>0</v>
      </c>
      <c r="J45" s="26" t="n">
        <f aca="false">SUMIF(CapexYr,J$9,CapexAmt)</f>
        <v>0</v>
      </c>
      <c r="K45" s="26" t="n">
        <f aca="false">SUMIF(CapexYr,K$9,CapexAmt)</f>
        <v>0</v>
      </c>
      <c r="L45" s="26" t="n">
        <f aca="false">SUMIF(CapexYr,L$9,CapexAmt)</f>
        <v>0</v>
      </c>
    </row>
    <row r="46" customFormat="false" ht="15" hidden="false" customHeight="false" outlineLevel="0" collapsed="false">
      <c r="A46" s="11" t="s">
        <v>108</v>
      </c>
      <c r="B46" s="12" t="n">
        <f aca="false">B43-B44-B45</f>
        <v>-265863.292</v>
      </c>
      <c r="C46" s="12" t="n">
        <f aca="false">C43-C44-C45</f>
        <v>1076300.832</v>
      </c>
      <c r="D46" s="12" t="n">
        <f aca="false">D43-D44-D45</f>
        <v>1306933.15772</v>
      </c>
      <c r="E46" s="12" t="n">
        <f aca="false">E43-E44-E45</f>
        <v>1842136.6252437</v>
      </c>
      <c r="F46" s="12" t="n">
        <f aca="false">F43-F44-F45</f>
        <v>2061325.6421073</v>
      </c>
      <c r="G46" s="12" t="n">
        <f aca="false">G43-G44-G45</f>
        <v>2015412.43601717</v>
      </c>
      <c r="H46" s="12" t="n">
        <f aca="false">H43-H44-H45</f>
        <v>2222034.38170992</v>
      </c>
      <c r="I46" s="12" t="n">
        <f aca="false">I43-I44-I45</f>
        <v>1816235.08603718</v>
      </c>
      <c r="J46" s="12" t="n">
        <f aca="false">J43-J44-J45</f>
        <v>2256611.56349119</v>
      </c>
      <c r="K46" s="12" t="n">
        <f aca="false">K43-K44-K45</f>
        <v>2170569.61837956</v>
      </c>
      <c r="L46" s="12" t="n">
        <f aca="false">L43-L44-L45</f>
        <v>2453319.3920416</v>
      </c>
    </row>
    <row r="48" customFormat="false" ht="15" hidden="false" customHeight="false" outlineLevel="0" collapsed="false">
      <c r="A48" s="18" t="s">
        <v>109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2" min="2" style="0" width="14"/>
    <col collapsed="false" customWidth="true" hidden="false" outlineLevel="0" max="7" min="3" style="0" width="16"/>
  </cols>
  <sheetData>
    <row r="1" customFormat="false" ht="19.7" hidden="false" customHeight="false" outlineLevel="0" collapsed="false">
      <c r="A1" s="27" t="s">
        <v>110</v>
      </c>
    </row>
    <row r="2" customFormat="false" ht="15" hidden="false" customHeight="false" outlineLevel="0" collapsed="false">
      <c r="A2" s="28" t="s">
        <v>111</v>
      </c>
    </row>
    <row r="4" customFormat="false" ht="15" hidden="false" customHeight="false" outlineLevel="0" collapsed="false">
      <c r="A4" s="28" t="s">
        <v>112</v>
      </c>
    </row>
    <row r="5" customFormat="false" ht="15" hidden="false" customHeight="false" outlineLevel="0" collapsed="false">
      <c r="A5" s="29" t="s">
        <v>113</v>
      </c>
    </row>
    <row r="6" customFormat="false" ht="23.85" hidden="false" customHeight="false" outlineLevel="0" collapsed="false">
      <c r="A6" s="30" t="s">
        <v>67</v>
      </c>
      <c r="B6" s="31" t="s">
        <v>114</v>
      </c>
      <c r="C6" s="31" t="s">
        <v>115</v>
      </c>
      <c r="D6" s="31" t="s">
        <v>116</v>
      </c>
      <c r="E6" s="31" t="s">
        <v>117</v>
      </c>
      <c r="F6" s="31" t="s">
        <v>118</v>
      </c>
      <c r="G6" s="31" t="s">
        <v>71</v>
      </c>
    </row>
    <row r="7" customFormat="false" ht="15" hidden="false" customHeight="false" outlineLevel="0" collapsed="false">
      <c r="A7" s="7" t="str">
        <f aca="false">'Rent roll'!$A8</f>
        <v>Ardgour Logistics</v>
      </c>
      <c r="B7" s="21" t="n">
        <f aca="false">'Rent roll'!$B8</f>
        <v>3150</v>
      </c>
      <c r="C7" s="32" t="n">
        <f aca="false">IF('Rent roll'!$C8=0,"vacant",'Rent roll'!$C8/'Rent roll'!$B8)</f>
        <v>150</v>
      </c>
      <c r="D7" s="32" t="n">
        <f aca="false">'Rent roll'!$D8/'Rent roll'!$B8</f>
        <v>160</v>
      </c>
      <c r="E7" s="23" t="n">
        <f aca="false">IF('Rent roll'!$C8=0,"vacant",'Rent roll'!$D8/'Rent roll'!$C8-1)</f>
        <v>0.0666666666666667</v>
      </c>
      <c r="F7" s="23" t="n">
        <f aca="false">'Rent roll'!$C8/PassRent</f>
        <v>0.29982866933181</v>
      </c>
      <c r="G7" s="19" t="n">
        <f aca="false">IF('Rent roll'!$E8=0,"vacant",'Rent roll'!$E8)</f>
        <v>7</v>
      </c>
    </row>
    <row r="8" customFormat="false" ht="15" hidden="false" customHeight="false" outlineLevel="0" collapsed="false">
      <c r="A8" s="7" t="str">
        <f aca="false">'Rent roll'!$A9</f>
        <v>Kilmory Print</v>
      </c>
      <c r="B8" s="21" t="n">
        <f aca="false">'Rent roll'!$B9</f>
        <v>1980</v>
      </c>
      <c r="C8" s="32" t="n">
        <f aca="false">IF('Rent roll'!$C9=0,"vacant",'Rent roll'!$C9/'Rent roll'!$B9)</f>
        <v>130</v>
      </c>
      <c r="D8" s="32" t="n">
        <f aca="false">'Rent roll'!$D9/'Rent roll'!$B9</f>
        <v>160</v>
      </c>
      <c r="E8" s="23" t="n">
        <f aca="false">IF('Rent roll'!$C9=0,"vacant",'Rent roll'!$D9/'Rent roll'!$C9-1)</f>
        <v>0.230769230769231</v>
      </c>
      <c r="F8" s="23" t="n">
        <f aca="false">'Rent roll'!$C9/PassRent</f>
        <v>0.163335237007424</v>
      </c>
      <c r="G8" s="19" t="n">
        <f aca="false">IF('Rent roll'!$E9=0,"vacant",'Rent roll'!$E9)</f>
        <v>3</v>
      </c>
    </row>
    <row r="9" customFormat="false" ht="15" hidden="false" customHeight="false" outlineLevel="0" collapsed="false">
      <c r="A9" s="7" t="str">
        <f aca="false">'Rent roll'!$A10</f>
        <v>Tannoch Foods</v>
      </c>
      <c r="B9" s="21" t="n">
        <f aca="false">'Rent roll'!$B10</f>
        <v>1640</v>
      </c>
      <c r="C9" s="32" t="n">
        <f aca="false">IF('Rent roll'!$C10=0,"vacant",'Rent roll'!$C10/'Rent roll'!$B10)</f>
        <v>140</v>
      </c>
      <c r="D9" s="32" t="n">
        <f aca="false">'Rent roll'!$D10/'Rent roll'!$B10</f>
        <v>160</v>
      </c>
      <c r="E9" s="23" t="n">
        <f aca="false">IF('Rent roll'!$C10=0,"vacant",'Rent roll'!$D10/'Rent roll'!$C10-1)</f>
        <v>0.142857142857143</v>
      </c>
      <c r="F9" s="23" t="n">
        <f aca="false">'Rent roll'!$C10/PassRent</f>
        <v>0.145694523764198</v>
      </c>
      <c r="G9" s="19" t="n">
        <f aca="false">IF('Rent roll'!$E10=0,"vacant",'Rent roll'!$E10)</f>
        <v>9</v>
      </c>
    </row>
    <row r="10" customFormat="false" ht="15" hidden="false" customHeight="false" outlineLevel="0" collapsed="false">
      <c r="A10" s="7" t="str">
        <f aca="false">'Rent roll'!$A11</f>
        <v>Struan Instruments</v>
      </c>
      <c r="B10" s="21" t="n">
        <f aca="false">'Rent roll'!$B11</f>
        <v>1310</v>
      </c>
      <c r="C10" s="32" t="n">
        <f aca="false">IF('Rent roll'!$C11=0,"vacant",'Rent roll'!$C11/'Rent roll'!$B11)</f>
        <v>140</v>
      </c>
      <c r="D10" s="32" t="n">
        <f aca="false">'Rent roll'!$D11/'Rent roll'!$B11</f>
        <v>160</v>
      </c>
      <c r="E10" s="23" t="n">
        <f aca="false">IF('Rent roll'!$C11=0,"vacant",'Rent roll'!$D11/'Rent roll'!$C11-1)</f>
        <v>0.142857142857143</v>
      </c>
      <c r="F10" s="23" t="n">
        <f aca="false">'Rent roll'!$C11/PassRent</f>
        <v>0.116377942762866</v>
      </c>
      <c r="G10" s="19" t="n">
        <f aca="false">IF('Rent roll'!$E11=0,"vacant",'Rent roll'!$E11)</f>
        <v>5</v>
      </c>
    </row>
    <row r="11" customFormat="false" ht="15" hidden="false" customHeight="false" outlineLevel="0" collapsed="false">
      <c r="A11" s="7" t="str">
        <f aca="false">'Rent roll'!$A12</f>
        <v>Balvaig Textiles</v>
      </c>
      <c r="B11" s="21" t="n">
        <f aca="false">'Rent roll'!$B12</f>
        <v>980</v>
      </c>
      <c r="C11" s="32" t="n">
        <f aca="false">IF('Rent roll'!$C12=0,"vacant",'Rent roll'!$C12/'Rent roll'!$B12)</f>
        <v>120</v>
      </c>
      <c r="D11" s="32" t="n">
        <f aca="false">'Rent roll'!$D12/'Rent roll'!$B12</f>
        <v>160</v>
      </c>
      <c r="E11" s="23" t="n">
        <f aca="false">IF('Rent roll'!$C12=0,"vacant",'Rent roll'!$D12/'Rent roll'!$C12-1)</f>
        <v>0.333333333333333</v>
      </c>
      <c r="F11" s="23" t="n">
        <f aca="false">'Rent roll'!$C12/PassRent</f>
        <v>0.0746240243670284</v>
      </c>
      <c r="G11" s="19" t="n">
        <f aca="false">IF('Rent roll'!$E12=0,"vacant",'Rent roll'!$E12)</f>
        <v>2</v>
      </c>
    </row>
    <row r="12" customFormat="false" ht="15" hidden="false" customHeight="false" outlineLevel="0" collapsed="false">
      <c r="A12" s="7" t="str">
        <f aca="false">'Rent roll'!$A13</f>
        <v>Corrour Systems</v>
      </c>
      <c r="B12" s="21" t="n">
        <f aca="false">'Rent roll'!$B13</f>
        <v>860</v>
      </c>
      <c r="C12" s="32" t="n">
        <f aca="false">IF('Rent roll'!$C13=0,"vacant",'Rent roll'!$C13/'Rent roll'!$B13)</f>
        <v>150</v>
      </c>
      <c r="D12" s="32" t="n">
        <f aca="false">'Rent roll'!$D13/'Rent roll'!$B13</f>
        <v>160</v>
      </c>
      <c r="E12" s="23" t="n">
        <f aca="false">IF('Rent roll'!$C13=0,"vacant",'Rent roll'!$D13/'Rent roll'!$C13-1)</f>
        <v>0.0666666666666667</v>
      </c>
      <c r="F12" s="23" t="n">
        <f aca="false">'Rent roll'!$C13/PassRent</f>
        <v>0.0818579859128117</v>
      </c>
      <c r="G12" s="19" t="n">
        <f aca="false">IF('Rent roll'!$E13=0,"vacant",'Rent roll'!$E13)</f>
        <v>11</v>
      </c>
    </row>
    <row r="13" customFormat="false" ht="15" hidden="false" customHeight="false" outlineLevel="0" collapsed="false">
      <c r="A13" s="7" t="str">
        <f aca="false">'Rent roll'!$A14</f>
        <v>Dunardry Media</v>
      </c>
      <c r="B13" s="21" t="n">
        <f aca="false">'Rent roll'!$B14</f>
        <v>720</v>
      </c>
      <c r="C13" s="32" t="n">
        <f aca="false">IF('Rent roll'!$C14=0,"vacant",'Rent roll'!$C14/'Rent roll'!$B14)</f>
        <v>130</v>
      </c>
      <c r="D13" s="32" t="n">
        <f aca="false">'Rent roll'!$D14/'Rent roll'!$B14</f>
        <v>160</v>
      </c>
      <c r="E13" s="23" t="n">
        <f aca="false">IF('Rent roll'!$C14=0,"vacant",'Rent roll'!$D14/'Rent roll'!$C14-1)</f>
        <v>0.230769230769231</v>
      </c>
      <c r="F13" s="23" t="n">
        <f aca="false">'Rent roll'!$C14/PassRent</f>
        <v>0.0593946316390634</v>
      </c>
      <c r="G13" s="19" t="n">
        <f aca="false">IF('Rent roll'!$E14=0,"vacant",'Rent roll'!$E14)</f>
        <v>4</v>
      </c>
    </row>
    <row r="14" customFormat="false" ht="15" hidden="false" customHeight="false" outlineLevel="0" collapsed="false">
      <c r="A14" s="7" t="str">
        <f aca="false">'Rent roll'!$A15</f>
        <v>Eilanreach Labs</v>
      </c>
      <c r="B14" s="21" t="n">
        <f aca="false">'Rent roll'!$B15</f>
        <v>640</v>
      </c>
      <c r="C14" s="32" t="n">
        <f aca="false">IF('Rent roll'!$C15=0,"vacant",'Rent roll'!$C15/'Rent roll'!$B15)</f>
        <v>145</v>
      </c>
      <c r="D14" s="32" t="n">
        <f aca="false">'Rent roll'!$D15/'Rent roll'!$B15</f>
        <v>160</v>
      </c>
      <c r="E14" s="23" t="n">
        <f aca="false">IF('Rent roll'!$C15=0,"vacant",'Rent roll'!$D15/'Rent roll'!$C15-1)</f>
        <v>0.103448275862069</v>
      </c>
      <c r="F14" s="23" t="n">
        <f aca="false">'Rent roll'!$C15/PassRent</f>
        <v>0.0588869852147979</v>
      </c>
      <c r="G14" s="19" t="n">
        <f aca="false">IF('Rent roll'!$E15=0,"vacant",'Rent roll'!$E15)</f>
        <v>8</v>
      </c>
    </row>
    <row r="15" customFormat="false" ht="15" hidden="false" customHeight="false" outlineLevel="0" collapsed="false">
      <c r="A15" s="7" t="str">
        <f aca="false">'Rent roll'!$A16</f>
        <v>Unit 9 (empty at acquisition)</v>
      </c>
      <c r="B15" s="21" t="n">
        <f aca="false">'Rent roll'!$B16</f>
        <v>1420</v>
      </c>
      <c r="C15" s="32" t="str">
        <f aca="false">IF('Rent roll'!$C16=0,"vacant",'Rent roll'!$C16/'Rent roll'!$B16)</f>
        <v>vacant</v>
      </c>
      <c r="D15" s="32" t="n">
        <f aca="false">'Rent roll'!$D16/'Rent roll'!$B16</f>
        <v>160</v>
      </c>
      <c r="E15" s="23" t="str">
        <f aca="false">IF('Rent roll'!$C16=0,"vacant",'Rent roll'!$D16/'Rent roll'!$C16-1)</f>
        <v>vacant</v>
      </c>
      <c r="F15" s="23" t="n">
        <f aca="false">'Rent roll'!$C16/PassRent</f>
        <v>0</v>
      </c>
      <c r="G15" s="7" t="str">
        <f aca="false">IF('Rent roll'!$E16=0,"vacant",'Rent roll'!$E16)</f>
        <v>vacant</v>
      </c>
    </row>
    <row r="16" customFormat="false" ht="15" hidden="false" customHeight="false" outlineLevel="0" collapsed="false">
      <c r="A16" s="7" t="str">
        <f aca="false">'Rent roll'!$A17</f>
        <v>Unit 12 (empty at acquisition)</v>
      </c>
      <c r="B16" s="21" t="n">
        <f aca="false">'Rent roll'!$B17</f>
        <v>1500</v>
      </c>
      <c r="C16" s="32" t="str">
        <f aca="false">IF('Rent roll'!$C17=0,"vacant",'Rent roll'!$C17/'Rent roll'!$B17)</f>
        <v>vacant</v>
      </c>
      <c r="D16" s="32" t="n">
        <f aca="false">'Rent roll'!$D17/'Rent roll'!$B17</f>
        <v>168</v>
      </c>
      <c r="E16" s="23" t="str">
        <f aca="false">IF('Rent roll'!$C17=0,"vacant",'Rent roll'!$D17/'Rent roll'!$C17-1)</f>
        <v>vacant</v>
      </c>
      <c r="F16" s="23" t="n">
        <f aca="false">'Rent roll'!$C17/PassRent</f>
        <v>0</v>
      </c>
      <c r="G16" s="7" t="str">
        <f aca="false">IF('Rent roll'!$E17=0,"vacant",'Rent roll'!$E17)</f>
        <v>vacant</v>
      </c>
    </row>
    <row r="18" customFormat="false" ht="15" hidden="false" customHeight="false" outlineLevel="0" collapsed="false">
      <c r="A18" s="7" t="s">
        <v>119</v>
      </c>
      <c r="C18" s="15" t="n">
        <f aca="false">SUMPRODUCT('Rent roll'!$C$8:$C$17,'Rent roll'!$E$8:$E$17)/PassRent</f>
        <v>6.24030712608668</v>
      </c>
    </row>
    <row r="19" customFormat="false" ht="15" hidden="false" customHeight="false" outlineLevel="0" collapsed="false">
      <c r="A19" s="7" t="s">
        <v>120</v>
      </c>
      <c r="C19" s="33" t="n">
        <f aca="false">ErvTot/PassRent-1</f>
        <v>0.449330541278</v>
      </c>
    </row>
    <row r="20" customFormat="false" ht="15" hidden="false" customHeight="false" outlineLevel="0" collapsed="false">
      <c r="A20" s="7" t="s">
        <v>121</v>
      </c>
      <c r="C20" s="33" t="n">
        <f aca="false">SUMIF('Rent roll'!$C$8:$C$17,0,'Rent roll'!$D$8:$D$17)/(ErvTot-PassRent)</f>
        <v>0.676740573365344</v>
      </c>
    </row>
    <row r="21" customFormat="false" ht="15" hidden="false" customHeight="false" outlineLevel="0" collapsed="false">
      <c r="A21" s="7" t="s">
        <v>122</v>
      </c>
      <c r="C21" s="33" t="n">
        <f aca="false">(SUMIF('Rent roll'!$C$8:$C$17,"&gt;0",'Rent roll'!$D$8:$D$17)-PassRent)/PassRent</f>
        <v>0.145250333142966</v>
      </c>
    </row>
    <row r="23" customFormat="false" ht="15" hidden="false" customHeight="false" outlineLevel="0" collapsed="false">
      <c r="A23" s="29" t="s">
        <v>123</v>
      </c>
    </row>
    <row r="24" customFormat="false" ht="23.85" hidden="false" customHeight="false" outlineLevel="0" collapsed="false">
      <c r="A24" s="30" t="s">
        <v>67</v>
      </c>
      <c r="B24" s="31" t="s">
        <v>72</v>
      </c>
      <c r="C24" s="31" t="s">
        <v>124</v>
      </c>
      <c r="D24" s="31" t="s">
        <v>125</v>
      </c>
      <c r="E24" s="31" t="s">
        <v>74</v>
      </c>
      <c r="F24" s="31" t="s">
        <v>126</v>
      </c>
      <c r="G24" s="31" t="s">
        <v>127</v>
      </c>
    </row>
    <row r="25" customFormat="false" ht="15" hidden="false" customHeight="false" outlineLevel="0" collapsed="false">
      <c r="A25" s="7" t="str">
        <f aca="false">'Rent roll'!$A8</f>
        <v>Ardgour Logistics</v>
      </c>
      <c r="B25" s="19" t="n">
        <f aca="false">'Rent roll'!$F8</f>
        <v>8</v>
      </c>
      <c r="C25" s="34" t="n">
        <f aca="false">'Rent roll'!$G8</f>
        <v>588943.663055956</v>
      </c>
      <c r="D25" s="34" t="n">
        <f aca="false">C25*VoidMth/12</f>
        <v>441707.747291967</v>
      </c>
      <c r="E25" s="34" t="n">
        <f aca="false">'Rent roll'!$H8</f>
        <v>88341.5494583934</v>
      </c>
      <c r="F25" s="34" t="n">
        <f aca="false">D25+E25</f>
        <v>530049.296750361</v>
      </c>
      <c r="G25" s="7" t="n">
        <f aca="false">IF(B25&lt;=Hold,1,0)</f>
        <v>1</v>
      </c>
    </row>
    <row r="26" customFormat="false" ht="15" hidden="false" customHeight="false" outlineLevel="0" collapsed="false">
      <c r="A26" s="7" t="str">
        <f aca="false">'Rent roll'!$A9</f>
        <v>Kilmory Print</v>
      </c>
      <c r="B26" s="19" t="n">
        <f aca="false">'Rent roll'!$F9</f>
        <v>4</v>
      </c>
      <c r="C26" s="34" t="n">
        <f aca="false">'Rent roll'!$G9</f>
        <v>338668.74855</v>
      </c>
      <c r="D26" s="34" t="n">
        <f aca="false">C26*VoidMth/12</f>
        <v>254001.5614125</v>
      </c>
      <c r="E26" s="34" t="n">
        <f aca="false">'Rent roll'!$H9</f>
        <v>50800.3122825</v>
      </c>
      <c r="F26" s="34" t="n">
        <f aca="false">D26+E26</f>
        <v>304801.873695</v>
      </c>
      <c r="G26" s="7" t="n">
        <f aca="false">IF(B26&lt;=Hold,1,0)</f>
        <v>1</v>
      </c>
    </row>
    <row r="27" customFormat="false" ht="15" hidden="false" customHeight="false" outlineLevel="0" collapsed="false">
      <c r="A27" s="7" t="str">
        <f aca="false">'Rent roll'!$A10</f>
        <v>Tannoch Foods</v>
      </c>
      <c r="B27" s="19" t="n">
        <f aca="false">'Rent roll'!$F10</f>
        <v>10</v>
      </c>
      <c r="C27" s="34" t="n">
        <f aca="false">'Rent roll'!$G10</f>
        <v>320577.974673508</v>
      </c>
      <c r="D27" s="34" t="n">
        <f aca="false">C27*VoidMth/12</f>
        <v>240433.481005131</v>
      </c>
      <c r="E27" s="34" t="n">
        <f aca="false">'Rent roll'!$H10</f>
        <v>48086.6962010262</v>
      </c>
      <c r="F27" s="34" t="n">
        <f aca="false">D27+E27</f>
        <v>288520.177206157</v>
      </c>
      <c r="G27" s="7" t="n">
        <f aca="false">IF(B27&lt;=Hold,1,0)</f>
        <v>1</v>
      </c>
    </row>
    <row r="28" customFormat="false" ht="15" hidden="false" customHeight="false" outlineLevel="0" collapsed="false">
      <c r="A28" s="7" t="str">
        <f aca="false">'Rent roll'!$A11</f>
        <v>Struan Instruments</v>
      </c>
      <c r="B28" s="19" t="n">
        <f aca="false">'Rent roll'!$F11</f>
        <v>6</v>
      </c>
      <c r="C28" s="34" t="n">
        <f aca="false">'Rent roll'!$G11</f>
        <v>234265.244549597</v>
      </c>
      <c r="D28" s="34" t="n">
        <f aca="false">C28*VoidMth/12</f>
        <v>175698.933412198</v>
      </c>
      <c r="E28" s="34" t="n">
        <f aca="false">'Rent roll'!$H11</f>
        <v>35139.7866824395</v>
      </c>
      <c r="F28" s="34" t="n">
        <f aca="false">D28+E28</f>
        <v>210838.720094637</v>
      </c>
      <c r="G28" s="7" t="n">
        <f aca="false">IF(B28&lt;=Hold,1,0)</f>
        <v>1</v>
      </c>
    </row>
    <row r="29" customFormat="false" ht="15" hidden="false" customHeight="false" outlineLevel="0" collapsed="false">
      <c r="A29" s="7" t="str">
        <f aca="false">'Rent roll'!$A12</f>
        <v>Balvaig Textiles</v>
      </c>
      <c r="B29" s="19" t="n">
        <f aca="false">'Rent roll'!$F12</f>
        <v>3</v>
      </c>
      <c r="C29" s="34" t="n">
        <f aca="false">'Rent roll'!$G12</f>
        <v>163935.38</v>
      </c>
      <c r="D29" s="34" t="n">
        <f aca="false">C29*VoidMth/12</f>
        <v>122951.535</v>
      </c>
      <c r="E29" s="34" t="n">
        <f aca="false">'Rent roll'!$H12</f>
        <v>24590.307</v>
      </c>
      <c r="F29" s="34" t="n">
        <f aca="false">D29+E29</f>
        <v>147541.842</v>
      </c>
      <c r="G29" s="7" t="n">
        <f aca="false">IF(B29&lt;=Hold,1,0)</f>
        <v>1</v>
      </c>
    </row>
    <row r="30" customFormat="false" ht="15" hidden="false" customHeight="false" outlineLevel="0" collapsed="false">
      <c r="A30" s="7" t="str">
        <f aca="false">'Rent roll'!$A13</f>
        <v>Corrour Systems</v>
      </c>
      <c r="B30" s="19" t="n">
        <f aca="false">'Rent roll'!$F13</f>
        <v>12</v>
      </c>
      <c r="C30" s="34" t="n">
        <f aca="false">'Rent roll'!$G13</f>
        <v>175757.925289515</v>
      </c>
      <c r="D30" s="34" t="n">
        <f aca="false">C30*VoidMth/12</f>
        <v>131818.443967136</v>
      </c>
      <c r="E30" s="34" t="n">
        <f aca="false">'Rent roll'!$H13</f>
        <v>26363.6887934273</v>
      </c>
      <c r="F30" s="34" t="n">
        <f aca="false">D30+E30</f>
        <v>158182.132760564</v>
      </c>
      <c r="G30" s="7" t="n">
        <f aca="false">IF(B30&lt;=Hold,1,0)</f>
        <v>0</v>
      </c>
    </row>
    <row r="31" customFormat="false" ht="15" hidden="false" customHeight="false" outlineLevel="0" collapsed="false">
      <c r="A31" s="7" t="str">
        <f aca="false">'Rent roll'!$A14</f>
        <v>Dunardry Media</v>
      </c>
      <c r="B31" s="19" t="n">
        <f aca="false">'Rent roll'!$F14</f>
        <v>5</v>
      </c>
      <c r="C31" s="34" t="n">
        <f aca="false">'Rent roll'!$G14</f>
        <v>125923.1983245</v>
      </c>
      <c r="D31" s="34" t="n">
        <f aca="false">C31*VoidMth/12</f>
        <v>94442.398743375</v>
      </c>
      <c r="E31" s="34" t="n">
        <f aca="false">'Rent roll'!$H14</f>
        <v>18888.479748675</v>
      </c>
      <c r="F31" s="34" t="n">
        <f aca="false">D31+E31</f>
        <v>113330.87849205</v>
      </c>
      <c r="G31" s="7" t="n">
        <f aca="false">IF(B31&lt;=Hold,1,0)</f>
        <v>1</v>
      </c>
    </row>
    <row r="32" customFormat="false" ht="15" hidden="false" customHeight="false" outlineLevel="0" collapsed="false">
      <c r="A32" s="7" t="str">
        <f aca="false">'Rent roll'!$A15</f>
        <v>Eilanreach Labs</v>
      </c>
      <c r="B32" s="19" t="n">
        <f aca="false">'Rent roll'!$F15</f>
        <v>9</v>
      </c>
      <c r="C32" s="34" t="n">
        <f aca="false">'Rent roll'!$G15</f>
        <v>122350.708921847</v>
      </c>
      <c r="D32" s="34" t="n">
        <f aca="false">C32*VoidMth/12</f>
        <v>91763.0316913852</v>
      </c>
      <c r="E32" s="34" t="n">
        <f aca="false">'Rent roll'!$H15</f>
        <v>18352.606338277</v>
      </c>
      <c r="F32" s="34" t="n">
        <f aca="false">D32+E32</f>
        <v>110115.638029662</v>
      </c>
      <c r="G32" s="7" t="n">
        <f aca="false">IF(B32&lt;=Hold,1,0)</f>
        <v>1</v>
      </c>
    </row>
    <row r="33" customFormat="false" ht="15" hidden="false" customHeight="false" outlineLevel="0" collapsed="false">
      <c r="A33" s="7" t="str">
        <f aca="false">'Rent roll'!$A16</f>
        <v>Unit 9 (empty at acquisition)</v>
      </c>
      <c r="B33" s="19" t="n">
        <f aca="false">'Rent roll'!$F16</f>
        <v>1</v>
      </c>
      <c r="C33" s="34" t="n">
        <f aca="false">'Rent roll'!$G16</f>
        <v>232312</v>
      </c>
      <c r="D33" s="34" t="n">
        <f aca="false">C33*VoidMth/12</f>
        <v>174234</v>
      </c>
      <c r="E33" s="34" t="n">
        <f aca="false">'Rent roll'!$H16</f>
        <v>34846.8</v>
      </c>
      <c r="F33" s="34" t="n">
        <f aca="false">D33+E33</f>
        <v>209080.8</v>
      </c>
      <c r="G33" s="7" t="n">
        <f aca="false">IF(B33&lt;=Hold,1,0)</f>
        <v>1</v>
      </c>
    </row>
    <row r="34" customFormat="false" ht="15" hidden="false" customHeight="false" outlineLevel="0" collapsed="false">
      <c r="A34" s="7" t="str">
        <f aca="false">'Rent roll'!$A17</f>
        <v>Unit 12 (empty at acquisition)</v>
      </c>
      <c r="B34" s="19" t="n">
        <f aca="false">'Rent roll'!$F17</f>
        <v>1</v>
      </c>
      <c r="C34" s="34" t="n">
        <f aca="false">'Rent roll'!$G17</f>
        <v>257670</v>
      </c>
      <c r="D34" s="34" t="n">
        <f aca="false">C34*VoidMth/12</f>
        <v>193252.5</v>
      </c>
      <c r="E34" s="34" t="n">
        <f aca="false">'Rent roll'!$H17</f>
        <v>38650.5</v>
      </c>
      <c r="F34" s="34" t="n">
        <f aca="false">D34+E34</f>
        <v>231903</v>
      </c>
      <c r="G34" s="7" t="n">
        <f aca="false">IF(B34&lt;=Hold,1,0)</f>
        <v>1</v>
      </c>
    </row>
    <row r="35" customFormat="false" ht="15" hidden="false" customHeight="false" outlineLevel="0" collapsed="false">
      <c r="A35" s="11" t="s">
        <v>128</v>
      </c>
      <c r="C35" s="35" t="n">
        <f aca="false">SUMPRODUCT(C25:C34,$G$25:$G$34)</f>
        <v>2384646.91807541</v>
      </c>
      <c r="D35" s="35" t="n">
        <f aca="false">SUMPRODUCT(D25:D34,$G$25:$G$34)</f>
        <v>1788485.18855656</v>
      </c>
      <c r="E35" s="35" t="n">
        <f aca="false">SUMPRODUCT(E25:E34,$G$25:$G$34)</f>
        <v>357697.037711311</v>
      </c>
      <c r="F35" s="35" t="n">
        <f aca="false">SUMPRODUCT(F25:F34,$G$25:$G$34)</f>
        <v>2146182.22626787</v>
      </c>
      <c r="G35" s="11" t="n">
        <f aca="false">SUM(G25:G34)</f>
        <v>9</v>
      </c>
    </row>
    <row r="37" customFormat="false" ht="15" hidden="false" customHeight="false" outlineLevel="0" collapsed="false">
      <c r="A37" s="7" t="s">
        <v>129</v>
      </c>
      <c r="C37" s="12" t="n">
        <f aca="false">SUMPRODUCT(('Income account'!$B$39:$L$39&lt;=Hold)*'Income account'!$B$40:$L$40)</f>
        <v>20757574.8856735</v>
      </c>
    </row>
    <row r="38" customFormat="false" ht="15" hidden="false" customHeight="false" outlineLevel="0" collapsed="false">
      <c r="A38" s="7" t="s">
        <v>130</v>
      </c>
      <c r="C38" s="12" t="n">
        <f aca="false">SUMPRODUCT(('Income account'!$B$39:$L$39&lt;=Hold)*'Income account'!$B$46:$L$46)</f>
        <v>16501696.050706</v>
      </c>
    </row>
    <row r="39" customFormat="false" ht="15" hidden="false" customHeight="false" outlineLevel="0" collapsed="false">
      <c r="A39" s="7" t="s">
        <v>131</v>
      </c>
      <c r="C39" s="33" t="n">
        <f aca="false">F35/C37</f>
        <v>0.10339272473246</v>
      </c>
    </row>
    <row r="40" customFormat="false" ht="15" hidden="false" customHeight="false" outlineLevel="0" collapsed="false">
      <c r="A40" s="7" t="s">
        <v>132</v>
      </c>
      <c r="C40" s="12" t="n">
        <f aca="false">F35/G35</f>
        <v>238464.691807541</v>
      </c>
    </row>
    <row r="41" customFormat="false" ht="15" hidden="false" customHeight="false" outlineLevel="0" collapsed="false">
      <c r="A41" s="7" t="s">
        <v>133</v>
      </c>
      <c r="C41" s="12" t="n">
        <f aca="false">C35/G35</f>
        <v>264960.768675045</v>
      </c>
    </row>
    <row r="42" customFormat="false" ht="15" hidden="false" customHeight="false" outlineLevel="0" collapsed="false">
      <c r="A42" s="7" t="s">
        <v>134</v>
      </c>
      <c r="C42" s="33" t="n">
        <f aca="false">VoidMth/12+LetFee</f>
        <v>0.9</v>
      </c>
    </row>
    <row r="43" customFormat="false" ht="15" hidden="false" customHeight="false" outlineLevel="0" collapsed="false">
      <c r="A43" s="7" t="s">
        <v>135</v>
      </c>
      <c r="C43" s="12" t="n">
        <f aca="false">CapexTot+F35</f>
        <v>5546182.22626787</v>
      </c>
    </row>
    <row r="44" customFormat="false" ht="15" hidden="false" customHeight="false" outlineLevel="0" collapsed="false">
      <c r="A44" s="7" t="s">
        <v>136</v>
      </c>
      <c r="C44" s="33" t="n">
        <f aca="false">C43/Price</f>
        <v>0.210082660085904</v>
      </c>
    </row>
    <row r="46" customFormat="false" ht="15" hidden="false" customHeight="false" outlineLevel="0" collapsed="false">
      <c r="A46" s="28" t="s">
        <v>137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7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68"/>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138</v>
      </c>
    </row>
    <row r="2" customFormat="false" ht="15" hidden="false" customHeight="false" outlineLevel="0" collapsed="false">
      <c r="A2" s="2" t="s">
        <v>139</v>
      </c>
    </row>
    <row r="3" customFormat="false" ht="15" hidden="false" customHeight="false" outlineLevel="0" collapsed="false">
      <c r="A3" s="3"/>
      <c r="B3" s="3"/>
      <c r="C3" s="3"/>
      <c r="D3" s="3"/>
      <c r="E3" s="3"/>
      <c r="F3" s="3"/>
    </row>
    <row r="5" customFormat="false" ht="15" hidden="false" customHeight="false" outlineLevel="0" collapsed="false">
      <c r="A5" s="18" t="s">
        <v>140</v>
      </c>
    </row>
    <row r="7" customFormat="false" ht="30" hidden="false" customHeight="true" outlineLevel="0" collapsed="false">
      <c r="A7" s="16" t="s">
        <v>141</v>
      </c>
      <c r="B7" s="17" t="s">
        <v>142</v>
      </c>
      <c r="C7" s="17" t="s">
        <v>143</v>
      </c>
      <c r="D7" s="17" t="s">
        <v>144</v>
      </c>
      <c r="E7" s="17" t="s">
        <v>145</v>
      </c>
      <c r="F7" s="17" t="s">
        <v>146</v>
      </c>
    </row>
    <row r="8" customFormat="false" ht="15" hidden="false" customHeight="false" outlineLevel="0" collapsed="false">
      <c r="A8" s="7" t="s">
        <v>147</v>
      </c>
      <c r="B8" s="7" t="s">
        <v>15</v>
      </c>
      <c r="C8" s="36" t="n">
        <v>14200</v>
      </c>
      <c r="D8" s="36" t="n">
        <f aca="false">AreaTot</f>
        <v>14200</v>
      </c>
      <c r="E8" s="37" t="n">
        <f aca="false">D8-C8</f>
        <v>0</v>
      </c>
      <c r="F8" s="38" t="str">
        <f aca="false">IF(ABS(E8)&lt;=0.5,"PASS","FAIL")</f>
        <v>PASS</v>
      </c>
    </row>
    <row r="9" customFormat="false" ht="15" hidden="false" customHeight="false" outlineLevel="0" collapsed="false">
      <c r="A9" s="39" t="s">
        <v>147</v>
      </c>
      <c r="B9" s="39" t="s">
        <v>148</v>
      </c>
      <c r="C9" s="40" t="n">
        <v>1575900</v>
      </c>
      <c r="D9" s="40" t="n">
        <f aca="false">PassRent</f>
        <v>1575900</v>
      </c>
      <c r="E9" s="41" t="n">
        <f aca="false">D9-C9</f>
        <v>0</v>
      </c>
      <c r="F9" s="42" t="str">
        <f aca="false">IF(ABS(E9)&lt;=0.5,"PASS","FAIL")</f>
        <v>PASS</v>
      </c>
    </row>
    <row r="10" customFormat="false" ht="15" hidden="false" customHeight="false" outlineLevel="0" collapsed="false">
      <c r="A10" s="7" t="s">
        <v>147</v>
      </c>
      <c r="B10" s="7" t="s">
        <v>149</v>
      </c>
      <c r="C10" s="21" t="n">
        <v>2284000</v>
      </c>
      <c r="D10" s="21" t="n">
        <f aca="false">ErvTot</f>
        <v>2284000</v>
      </c>
      <c r="E10" s="37" t="n">
        <f aca="false">D10-C10</f>
        <v>0</v>
      </c>
      <c r="F10" s="38" t="str">
        <f aca="false">IF(ABS(E10)&lt;=0.5,"PASS","FAIL")</f>
        <v>PASS</v>
      </c>
    </row>
    <row r="11" customFormat="false" ht="15" hidden="false" customHeight="false" outlineLevel="0" collapsed="false">
      <c r="A11" s="39" t="s">
        <v>147</v>
      </c>
      <c r="B11" s="39" t="s">
        <v>87</v>
      </c>
      <c r="C11" s="43" t="n">
        <v>0.205634</v>
      </c>
      <c r="D11" s="43" t="n">
        <f aca="false">'Rent roll'!C22</f>
        <v>0.205633802816901</v>
      </c>
      <c r="E11" s="41" t="n">
        <f aca="false">D11-C11</f>
        <v>-1.97183098599174E-007</v>
      </c>
      <c r="F11" s="42" t="str">
        <f aca="false">IF(ABS(E11)&lt;=0.0000005,"PASS","FAIL")</f>
        <v>PASS</v>
      </c>
    </row>
    <row r="12" customFormat="false" ht="15" hidden="false" customHeight="false" outlineLevel="0" collapsed="false">
      <c r="A12" s="7" t="s">
        <v>147</v>
      </c>
      <c r="B12" s="7" t="s">
        <v>89</v>
      </c>
      <c r="C12" s="23" t="n">
        <v>0.209807</v>
      </c>
      <c r="D12" s="23" t="n">
        <f aca="false">'Rent roll'!C23</f>
        <v>0.209807355516637</v>
      </c>
      <c r="E12" s="37" t="n">
        <f aca="false">D12-C12</f>
        <v>3.55516637490227E-007</v>
      </c>
      <c r="F12" s="38" t="str">
        <f aca="false">IF(ABS(E12)&lt;=0.0000005,"PASS","FAIL")</f>
        <v>PASS</v>
      </c>
    </row>
    <row r="13" customFormat="false" ht="15" hidden="false" customHeight="false" outlineLevel="0" collapsed="false">
      <c r="A13" s="39" t="s">
        <v>150</v>
      </c>
      <c r="B13" s="39" t="s">
        <v>151</v>
      </c>
      <c r="C13" s="40" t="n">
        <v>28195200</v>
      </c>
      <c r="D13" s="40" t="n">
        <f aca="false">TotCost</f>
        <v>28195200</v>
      </c>
      <c r="E13" s="41" t="n">
        <f aca="false">D13-C13</f>
        <v>0</v>
      </c>
      <c r="F13" s="42" t="str">
        <f aca="false">IF(ABS(E13)&lt;=0.5,"PASS","FAIL")</f>
        <v>PASS</v>
      </c>
    </row>
    <row r="14" customFormat="false" ht="15" hidden="false" customHeight="false" outlineLevel="0" collapsed="false">
      <c r="A14" s="7" t="s">
        <v>150</v>
      </c>
      <c r="B14" s="7" t="s">
        <v>152</v>
      </c>
      <c r="C14" s="21" t="n">
        <v>3400000</v>
      </c>
      <c r="D14" s="21" t="n">
        <f aca="false">CapexTot</f>
        <v>3400000</v>
      </c>
      <c r="E14" s="37" t="n">
        <f aca="false">D14-C14</f>
        <v>0</v>
      </c>
      <c r="F14" s="38" t="str">
        <f aca="false">IF(ABS(E14)&lt;=0.5,"PASS","FAIL")</f>
        <v>PASS</v>
      </c>
    </row>
    <row r="15" customFormat="false" ht="15" hidden="false" customHeight="false" outlineLevel="0" collapsed="false">
      <c r="A15" s="39" t="s">
        <v>150</v>
      </c>
      <c r="B15" s="39" t="s">
        <v>153</v>
      </c>
      <c r="C15" s="40" t="n">
        <v>31595200</v>
      </c>
      <c r="D15" s="40" t="n">
        <f aca="false">AllIn</f>
        <v>31595200</v>
      </c>
      <c r="E15" s="41" t="n">
        <f aca="false">D15-C15</f>
        <v>0</v>
      </c>
      <c r="F15" s="42" t="str">
        <f aca="false">IF(ABS(E15)&lt;=0.5,"PASS","FAIL")</f>
        <v>PASS</v>
      </c>
    </row>
    <row r="16" customFormat="false" ht="15" hidden="false" customHeight="false" outlineLevel="0" collapsed="false">
      <c r="A16" s="7" t="s">
        <v>150</v>
      </c>
      <c r="B16" s="7" t="s">
        <v>154</v>
      </c>
      <c r="C16" s="21" t="n">
        <v>14520000</v>
      </c>
      <c r="D16" s="21" t="n">
        <f aca="false">Debt</f>
        <v>14520000</v>
      </c>
      <c r="E16" s="37" t="n">
        <f aca="false">D16-C16</f>
        <v>0</v>
      </c>
      <c r="F16" s="38" t="str">
        <f aca="false">IF(ABS(E16)&lt;=0.5,"PASS","FAIL")</f>
        <v>PASS</v>
      </c>
    </row>
    <row r="17" customFormat="false" ht="15" hidden="false" customHeight="false" outlineLevel="0" collapsed="false">
      <c r="A17" s="39" t="s">
        <v>150</v>
      </c>
      <c r="B17" s="39" t="s">
        <v>155</v>
      </c>
      <c r="C17" s="40" t="n">
        <v>159720</v>
      </c>
      <c r="D17" s="40" t="n">
        <f aca="false">ArrFee</f>
        <v>159720</v>
      </c>
      <c r="E17" s="41" t="n">
        <f aca="false">D17-C17</f>
        <v>0</v>
      </c>
      <c r="F17" s="42" t="str">
        <f aca="false">IF(ABS(E17)&lt;=0.5,"PASS","FAIL")</f>
        <v>PASS</v>
      </c>
    </row>
    <row r="18" customFormat="false" ht="15" hidden="false" customHeight="false" outlineLevel="0" collapsed="false">
      <c r="A18" s="7" t="s">
        <v>150</v>
      </c>
      <c r="B18" s="7" t="s">
        <v>156</v>
      </c>
      <c r="C18" s="21" t="n">
        <v>13834920</v>
      </c>
      <c r="D18" s="21" t="n">
        <f aca="false">Equity0</f>
        <v>13834920</v>
      </c>
      <c r="E18" s="37" t="n">
        <f aca="false">D18-C18</f>
        <v>0</v>
      </c>
      <c r="F18" s="38" t="str">
        <f aca="false">IF(ABS(E18)&lt;=0.5,"PASS","FAIL")</f>
        <v>PASS</v>
      </c>
    </row>
    <row r="19" customFormat="false" ht="15" hidden="false" customHeight="false" outlineLevel="0" collapsed="false">
      <c r="A19" s="39" t="s">
        <v>157</v>
      </c>
      <c r="B19" s="39" t="s">
        <v>158</v>
      </c>
      <c r="C19" s="44" t="n">
        <v>0.25</v>
      </c>
      <c r="D19" s="44" t="n">
        <f aca="false">LetFrac</f>
        <v>0.25</v>
      </c>
      <c r="E19" s="41" t="n">
        <f aca="false">D19-C19</f>
        <v>0</v>
      </c>
      <c r="F19" s="42" t="str">
        <f aca="false">IF(ABS(E19)&lt;=0.000005,"PASS","FAIL")</f>
        <v>PASS</v>
      </c>
    </row>
    <row r="20" customFormat="false" ht="15" hidden="false" customHeight="false" outlineLevel="0" collapsed="false">
      <c r="A20" s="7" t="s">
        <v>157</v>
      </c>
      <c r="B20" s="7" t="s">
        <v>159</v>
      </c>
      <c r="C20" s="20" t="n">
        <v>588943.66</v>
      </c>
      <c r="D20" s="20" t="n">
        <f aca="false">'Rent roll'!G8</f>
        <v>588943.663055956</v>
      </c>
      <c r="E20" s="37" t="n">
        <f aca="false">D20-C20</f>
        <v>0.00305595609825104</v>
      </c>
      <c r="F20" s="38" t="str">
        <f aca="false">IF(ABS(E20)&lt;=0.005,"PASS","FAIL")</f>
        <v>PASS</v>
      </c>
    </row>
    <row r="21" customFormat="false" ht="15" hidden="false" customHeight="false" outlineLevel="0" collapsed="false">
      <c r="A21" s="39" t="s">
        <v>157</v>
      </c>
      <c r="B21" s="39" t="s">
        <v>160</v>
      </c>
      <c r="C21" s="45" t="n">
        <v>338668.75</v>
      </c>
      <c r="D21" s="45" t="n">
        <f aca="false">'Rent roll'!G9</f>
        <v>338668.74855</v>
      </c>
      <c r="E21" s="41" t="n">
        <f aca="false">D21-C21</f>
        <v>-0.00145000003976747</v>
      </c>
      <c r="F21" s="42" t="str">
        <f aca="false">IF(ABS(E21)&lt;=0.005,"PASS","FAIL")</f>
        <v>PASS</v>
      </c>
    </row>
    <row r="22" customFormat="false" ht="15" hidden="false" customHeight="false" outlineLevel="0" collapsed="false">
      <c r="A22" s="7" t="s">
        <v>157</v>
      </c>
      <c r="B22" s="7" t="s">
        <v>161</v>
      </c>
      <c r="C22" s="20" t="n">
        <v>320577.97</v>
      </c>
      <c r="D22" s="20" t="n">
        <f aca="false">'Rent roll'!G10</f>
        <v>320577.974673508</v>
      </c>
      <c r="E22" s="37" t="n">
        <f aca="false">D22-C22</f>
        <v>0.00467350782128051</v>
      </c>
      <c r="F22" s="38" t="str">
        <f aca="false">IF(ABS(E22)&lt;=0.005,"PASS","FAIL")</f>
        <v>PASS</v>
      </c>
    </row>
    <row r="23" customFormat="false" ht="15" hidden="false" customHeight="false" outlineLevel="0" collapsed="false">
      <c r="A23" s="39" t="s">
        <v>157</v>
      </c>
      <c r="B23" s="39" t="s">
        <v>162</v>
      </c>
      <c r="C23" s="45" t="n">
        <v>234265.24</v>
      </c>
      <c r="D23" s="45" t="n">
        <f aca="false">'Rent roll'!G11</f>
        <v>234265.244549597</v>
      </c>
      <c r="E23" s="41" t="n">
        <f aca="false">D23-C23</f>
        <v>0.00454959669150412</v>
      </c>
      <c r="F23" s="42" t="str">
        <f aca="false">IF(ABS(E23)&lt;=0.005,"PASS","FAIL")</f>
        <v>PASS</v>
      </c>
    </row>
    <row r="24" customFormat="false" ht="15" hidden="false" customHeight="false" outlineLevel="0" collapsed="false">
      <c r="A24" s="7" t="s">
        <v>157</v>
      </c>
      <c r="B24" s="7" t="s">
        <v>163</v>
      </c>
      <c r="C24" s="20" t="n">
        <v>163935.38</v>
      </c>
      <c r="D24" s="20" t="n">
        <f aca="false">'Rent roll'!G12</f>
        <v>163935.38</v>
      </c>
      <c r="E24" s="37" t="n">
        <f aca="false">D24-C24</f>
        <v>0</v>
      </c>
      <c r="F24" s="38" t="str">
        <f aca="false">IF(ABS(E24)&lt;=0.005,"PASS","FAIL")</f>
        <v>PASS</v>
      </c>
    </row>
    <row r="25" customFormat="false" ht="15" hidden="false" customHeight="false" outlineLevel="0" collapsed="false">
      <c r="A25" s="39" t="s">
        <v>157</v>
      </c>
      <c r="B25" s="39" t="s">
        <v>164</v>
      </c>
      <c r="C25" s="45" t="n">
        <v>175757.93</v>
      </c>
      <c r="D25" s="45" t="n">
        <f aca="false">'Rent roll'!G13</f>
        <v>175757.925289515</v>
      </c>
      <c r="E25" s="41" t="n">
        <f aca="false">D25-C25</f>
        <v>-0.00471048476174474</v>
      </c>
      <c r="F25" s="42" t="str">
        <f aca="false">IF(ABS(E25)&lt;=0.005,"PASS","FAIL")</f>
        <v>PASS</v>
      </c>
    </row>
    <row r="26" customFormat="false" ht="15" hidden="false" customHeight="false" outlineLevel="0" collapsed="false">
      <c r="A26" s="7" t="s">
        <v>157</v>
      </c>
      <c r="B26" s="7" t="s">
        <v>165</v>
      </c>
      <c r="C26" s="20" t="n">
        <v>125923.2</v>
      </c>
      <c r="D26" s="20" t="n">
        <f aca="false">'Rent roll'!G14</f>
        <v>125923.1983245</v>
      </c>
      <c r="E26" s="37" t="n">
        <f aca="false">D26-C26</f>
        <v>-0.00167550002515782</v>
      </c>
      <c r="F26" s="38" t="str">
        <f aca="false">IF(ABS(E26)&lt;=0.005,"PASS","FAIL")</f>
        <v>PASS</v>
      </c>
    </row>
    <row r="27" customFormat="false" ht="15" hidden="false" customHeight="false" outlineLevel="0" collapsed="false">
      <c r="A27" s="39" t="s">
        <v>157</v>
      </c>
      <c r="B27" s="39" t="s">
        <v>166</v>
      </c>
      <c r="C27" s="45" t="n">
        <v>122350.71</v>
      </c>
      <c r="D27" s="45" t="n">
        <f aca="false">'Rent roll'!G15</f>
        <v>122350.708921847</v>
      </c>
      <c r="E27" s="41" t="n">
        <f aca="false">D27-C27</f>
        <v>-0.00107815313094761</v>
      </c>
      <c r="F27" s="42" t="str">
        <f aca="false">IF(ABS(E27)&lt;=0.005,"PASS","FAIL")</f>
        <v>PASS</v>
      </c>
    </row>
    <row r="28" customFormat="false" ht="15" hidden="false" customHeight="false" outlineLevel="0" collapsed="false">
      <c r="A28" s="7" t="s">
        <v>157</v>
      </c>
      <c r="B28" s="7" t="s">
        <v>167</v>
      </c>
      <c r="C28" s="20" t="n">
        <v>232312</v>
      </c>
      <c r="D28" s="20" t="n">
        <f aca="false">'Rent roll'!G16</f>
        <v>232312</v>
      </c>
      <c r="E28" s="37" t="n">
        <f aca="false">D28-C28</f>
        <v>0</v>
      </c>
      <c r="F28" s="38" t="str">
        <f aca="false">IF(ABS(E28)&lt;=0.005,"PASS","FAIL")</f>
        <v>PASS</v>
      </c>
    </row>
    <row r="29" customFormat="false" ht="15" hidden="false" customHeight="false" outlineLevel="0" collapsed="false">
      <c r="A29" s="39" t="s">
        <v>157</v>
      </c>
      <c r="B29" s="39" t="s">
        <v>168</v>
      </c>
      <c r="C29" s="45" t="n">
        <v>257670</v>
      </c>
      <c r="D29" s="45" t="n">
        <f aca="false">'Rent roll'!G17</f>
        <v>257670</v>
      </c>
      <c r="E29" s="41" t="n">
        <f aca="false">D29-C29</f>
        <v>0</v>
      </c>
      <c r="F29" s="42" t="str">
        <f aca="false">IF(ABS(E29)&lt;=0.005,"PASS","FAIL")</f>
        <v>PASS</v>
      </c>
    </row>
    <row r="30" customFormat="false" ht="15" hidden="false" customHeight="false" outlineLevel="0" collapsed="false">
      <c r="A30" s="7" t="s">
        <v>157</v>
      </c>
      <c r="B30" s="7" t="s">
        <v>169</v>
      </c>
      <c r="C30" s="21" t="n">
        <v>1698396</v>
      </c>
      <c r="D30" s="21" t="n">
        <f aca="false">'Income account'!B40</f>
        <v>1698395.5</v>
      </c>
      <c r="E30" s="37" t="n">
        <f aca="false">D30-C30</f>
        <v>-0.5</v>
      </c>
      <c r="F30" s="38" t="str">
        <f aca="false">IF(ABS(E30)&lt;=0.5,"PASS","FAIL")</f>
        <v>PASS</v>
      </c>
    </row>
    <row r="31" customFormat="false" ht="15" hidden="false" customHeight="false" outlineLevel="0" collapsed="false">
      <c r="A31" s="39" t="s">
        <v>157</v>
      </c>
      <c r="B31" s="39" t="s">
        <v>170</v>
      </c>
      <c r="C31" s="40" t="n">
        <v>2065882</v>
      </c>
      <c r="D31" s="40" t="n">
        <f aca="false">'Income account'!C40</f>
        <v>2065882</v>
      </c>
      <c r="E31" s="41" t="n">
        <f aca="false">D31-C31</f>
        <v>0</v>
      </c>
      <c r="F31" s="42" t="str">
        <f aca="false">IF(ABS(E31)&lt;=0.5,"PASS","FAIL")</f>
        <v>PASS</v>
      </c>
    </row>
    <row r="32" customFormat="false" ht="15" hidden="false" customHeight="false" outlineLevel="0" collapsed="false">
      <c r="A32" s="7" t="s">
        <v>157</v>
      </c>
      <c r="B32" s="7" t="s">
        <v>171</v>
      </c>
      <c r="C32" s="21" t="n">
        <v>1989266</v>
      </c>
      <c r="D32" s="21" t="n">
        <f aca="false">'Income account'!D40</f>
        <v>1989265.845</v>
      </c>
      <c r="E32" s="37" t="n">
        <f aca="false">D32-C32</f>
        <v>-0.15500000002794</v>
      </c>
      <c r="F32" s="38" t="str">
        <f aca="false">IF(ABS(E32)&lt;=0.5,"PASS","FAIL")</f>
        <v>PASS</v>
      </c>
    </row>
    <row r="33" customFormat="false" ht="15" hidden="false" customHeight="false" outlineLevel="0" collapsed="false">
      <c r="A33" s="39" t="s">
        <v>157</v>
      </c>
      <c r="B33" s="39" t="s">
        <v>172</v>
      </c>
      <c r="C33" s="40" t="n">
        <v>1939485</v>
      </c>
      <c r="D33" s="40" t="n">
        <f aca="false">'Income account'!E40</f>
        <v>1939484.5671375</v>
      </c>
      <c r="E33" s="41" t="n">
        <f aca="false">D33-C33</f>
        <v>-0.43286249996163</v>
      </c>
      <c r="F33" s="42" t="str">
        <f aca="false">IF(ABS(E33)&lt;=0.5,"PASS","FAIL")</f>
        <v>PASS</v>
      </c>
    </row>
    <row r="34" customFormat="false" ht="15" hidden="false" customHeight="false" outlineLevel="0" collapsed="false">
      <c r="A34" s="7" t="s">
        <v>157</v>
      </c>
      <c r="B34" s="7" t="s">
        <v>173</v>
      </c>
      <c r="C34" s="21" t="n">
        <v>2131367</v>
      </c>
      <c r="D34" s="21" t="n">
        <f aca="false">'Income account'!F40</f>
        <v>2131366.92813113</v>
      </c>
      <c r="E34" s="37" t="n">
        <f aca="false">D34-C34</f>
        <v>-0.0718688750639558</v>
      </c>
      <c r="F34" s="38" t="str">
        <f aca="false">IF(ABS(E34)&lt;=0.5,"PASS","FAIL")</f>
        <v>PASS</v>
      </c>
    </row>
    <row r="35" customFormat="false" ht="15" hidden="false" customHeight="false" outlineLevel="0" collapsed="false">
      <c r="A35" s="39" t="s">
        <v>157</v>
      </c>
      <c r="B35" s="39" t="s">
        <v>174</v>
      </c>
      <c r="C35" s="40" t="n">
        <v>2100976</v>
      </c>
      <c r="D35" s="40" t="n">
        <f aca="false">'Income account'!G40</f>
        <v>2100975.6380119</v>
      </c>
      <c r="E35" s="41" t="n">
        <f aca="false">D35-C35</f>
        <v>-0.361988101154566</v>
      </c>
      <c r="F35" s="42" t="str">
        <f aca="false">IF(ABS(E35)&lt;=0.5,"PASS","FAIL")</f>
        <v>PASS</v>
      </c>
    </row>
    <row r="36" customFormat="false" ht="15" hidden="false" customHeight="false" outlineLevel="0" collapsed="false">
      <c r="A36" s="7" t="s">
        <v>157</v>
      </c>
      <c r="B36" s="7" t="s">
        <v>175</v>
      </c>
      <c r="C36" s="21" t="n">
        <v>2276675</v>
      </c>
      <c r="D36" s="21" t="n">
        <f aca="false">'Income account'!H40</f>
        <v>2276674.5714241</v>
      </c>
      <c r="E36" s="37" t="n">
        <f aca="false">D36-C36</f>
        <v>-0.428575903177261</v>
      </c>
      <c r="F36" s="38" t="str">
        <f aca="false">IF(ABS(E36)&lt;=0.5,"PASS","FAIL")</f>
        <v>PASS</v>
      </c>
    </row>
    <row r="37" customFormat="false" ht="15" hidden="false" customHeight="false" outlineLevel="0" collapsed="false">
      <c r="A37" s="39" t="s">
        <v>157</v>
      </c>
      <c r="B37" s="39" t="s">
        <v>176</v>
      </c>
      <c r="C37" s="40" t="n">
        <v>1951410</v>
      </c>
      <c r="D37" s="40" t="n">
        <f aca="false">'Income account'!I40</f>
        <v>1951410.48718809</v>
      </c>
      <c r="E37" s="41" t="n">
        <f aca="false">D37-C37</f>
        <v>0.487188085680828</v>
      </c>
      <c r="F37" s="42" t="str">
        <f aca="false">IF(ABS(E37)&lt;=0.5,"PASS","FAIL")</f>
        <v>PASS</v>
      </c>
    </row>
    <row r="38" customFormat="false" ht="15" hidden="false" customHeight="false" outlineLevel="0" collapsed="false">
      <c r="A38" s="7" t="s">
        <v>157</v>
      </c>
      <c r="B38" s="7" t="s">
        <v>177</v>
      </c>
      <c r="C38" s="21" t="n">
        <v>2330906</v>
      </c>
      <c r="D38" s="21" t="n">
        <f aca="false">'Income account'!J40</f>
        <v>2330905.91171051</v>
      </c>
      <c r="E38" s="37" t="n">
        <f aca="false">D38-C38</f>
        <v>-0.0882894853129983</v>
      </c>
      <c r="F38" s="38" t="str">
        <f aca="false">IF(ABS(E38)&lt;=0.5,"PASS","FAIL")</f>
        <v>PASS</v>
      </c>
    </row>
    <row r="39" customFormat="false" ht="15" hidden="false" customHeight="false" outlineLevel="0" collapsed="false">
      <c r="A39" s="39" t="s">
        <v>157</v>
      </c>
      <c r="B39" s="39" t="s">
        <v>178</v>
      </c>
      <c r="C39" s="40" t="n">
        <v>2273213</v>
      </c>
      <c r="D39" s="40" t="n">
        <f aca="false">'Income account'!K40</f>
        <v>2273213.43707028</v>
      </c>
      <c r="E39" s="41" t="n">
        <f aca="false">D39-C39</f>
        <v>0.437070276588202</v>
      </c>
      <c r="F39" s="42" t="str">
        <f aca="false">IF(ABS(E39)&lt;=0.5,"PASS","FAIL")</f>
        <v>PASS</v>
      </c>
    </row>
    <row r="40" customFormat="false" ht="15" hidden="false" customHeight="false" outlineLevel="0" collapsed="false">
      <c r="A40" s="7" t="s">
        <v>157</v>
      </c>
      <c r="B40" s="7" t="s">
        <v>179</v>
      </c>
      <c r="C40" s="21" t="n">
        <v>2513647</v>
      </c>
      <c r="D40" s="21" t="n">
        <f aca="false">'Income account'!L40</f>
        <v>2513646.91807541</v>
      </c>
      <c r="E40" s="37" t="n">
        <f aca="false">D40-C40</f>
        <v>-0.0819245926104486</v>
      </c>
      <c r="F40" s="38" t="str">
        <f aca="false">IF(ABS(E40)&lt;=0.5,"PASS","FAIL")</f>
        <v>PASS</v>
      </c>
    </row>
    <row r="41" customFormat="false" ht="15" hidden="false" customHeight="false" outlineLevel="0" collapsed="false">
      <c r="A41" s="39" t="s">
        <v>157</v>
      </c>
      <c r="B41" s="39" t="s">
        <v>180</v>
      </c>
      <c r="C41" s="40" t="n">
        <v>28024</v>
      </c>
      <c r="D41" s="40" t="n">
        <f aca="false">'Income account'!B41</f>
        <v>28023.52575</v>
      </c>
      <c r="E41" s="41" t="n">
        <f aca="false">D41-C41</f>
        <v>-0.474249999999302</v>
      </c>
      <c r="F41" s="42" t="str">
        <f aca="false">IF(ABS(E41)&lt;=0.5,"PASS","FAIL")</f>
        <v>PASS</v>
      </c>
    </row>
    <row r="42" customFormat="false" ht="15" hidden="false" customHeight="false" outlineLevel="0" collapsed="false">
      <c r="A42" s="7" t="s">
        <v>157</v>
      </c>
      <c r="B42" s="7" t="s">
        <v>181</v>
      </c>
      <c r="C42" s="21" t="n">
        <v>41475</v>
      </c>
      <c r="D42" s="21" t="n">
        <f aca="false">'Income account'!L41</f>
        <v>41475.1741482442</v>
      </c>
      <c r="E42" s="37" t="n">
        <f aca="false">D42-C42</f>
        <v>0.174148244223034</v>
      </c>
      <c r="F42" s="38" t="str">
        <f aca="false">IF(ABS(E42)&lt;=0.5,"PASS","FAIL")</f>
        <v>PASS</v>
      </c>
    </row>
    <row r="43" customFormat="false" ht="15" hidden="false" customHeight="false" outlineLevel="0" collapsed="false">
      <c r="A43" s="39" t="s">
        <v>157</v>
      </c>
      <c r="B43" s="39" t="s">
        <v>182</v>
      </c>
      <c r="C43" s="40" t="n">
        <v>12738</v>
      </c>
      <c r="D43" s="40" t="n">
        <f aca="false">'Income account'!B42</f>
        <v>12737.96625</v>
      </c>
      <c r="E43" s="41" t="n">
        <f aca="false">D43-C43</f>
        <v>-0.0337500000005093</v>
      </c>
      <c r="F43" s="42" t="str">
        <f aca="false">IF(ABS(E43)&lt;=0.5,"PASS","FAIL")</f>
        <v>PASS</v>
      </c>
    </row>
    <row r="44" customFormat="false" ht="15" hidden="false" customHeight="false" outlineLevel="0" collapsed="false">
      <c r="A44" s="7" t="s">
        <v>157</v>
      </c>
      <c r="B44" s="7" t="s">
        <v>183</v>
      </c>
      <c r="C44" s="21" t="n">
        <v>18852</v>
      </c>
      <c r="D44" s="21" t="n">
        <f aca="false">'Income account'!L42</f>
        <v>18852.3518855656</v>
      </c>
      <c r="E44" s="37" t="n">
        <f aca="false">D44-C44</f>
        <v>0.351885565552948</v>
      </c>
      <c r="F44" s="38" t="str">
        <f aca="false">IF(ABS(E44)&lt;=0.5,"PASS","FAIL")</f>
        <v>PASS</v>
      </c>
    </row>
    <row r="45" customFormat="false" ht="15" hidden="false" customHeight="false" outlineLevel="0" collapsed="false">
      <c r="A45" s="39" t="s">
        <v>157</v>
      </c>
      <c r="B45" s="39" t="s">
        <v>184</v>
      </c>
      <c r="C45" s="40" t="n">
        <v>73497</v>
      </c>
      <c r="D45" s="40" t="n">
        <f aca="false">'Income account'!B44</f>
        <v>73497.3</v>
      </c>
      <c r="E45" s="41" t="n">
        <f aca="false">D45-C45</f>
        <v>0.299999999988358</v>
      </c>
      <c r="F45" s="42" t="str">
        <f aca="false">IF(ABS(E45)&lt;=0.5,"PASS","FAIL")</f>
        <v>PASS</v>
      </c>
    </row>
    <row r="46" customFormat="false" ht="15" hidden="false" customHeight="false" outlineLevel="0" collapsed="false">
      <c r="A46" s="7" t="s">
        <v>157</v>
      </c>
      <c r="B46" s="7" t="s">
        <v>185</v>
      </c>
      <c r="C46" s="21" t="n">
        <v>24590</v>
      </c>
      <c r="D46" s="21" t="n">
        <f aca="false">'Income account'!D44</f>
        <v>24590.307</v>
      </c>
      <c r="E46" s="37" t="n">
        <f aca="false">D46-C46</f>
        <v>0.306999999997061</v>
      </c>
      <c r="F46" s="38" t="str">
        <f aca="false">IF(ABS(E46)&lt;=0.5,"PASS","FAIL")</f>
        <v>PASS</v>
      </c>
    </row>
    <row r="47" customFormat="false" ht="15" hidden="false" customHeight="false" outlineLevel="0" collapsed="false">
      <c r="A47" s="39" t="s">
        <v>157</v>
      </c>
      <c r="B47" s="39" t="s">
        <v>186</v>
      </c>
      <c r="C47" s="40" t="n">
        <v>88342</v>
      </c>
      <c r="D47" s="40" t="n">
        <f aca="false">'Income account'!I44</f>
        <v>88341.5494583934</v>
      </c>
      <c r="E47" s="41" t="n">
        <f aca="false">D47-C47</f>
        <v>-0.450541606580373</v>
      </c>
      <c r="F47" s="42" t="str">
        <f aca="false">IF(ABS(E47)&lt;=0.5,"PASS","FAIL")</f>
        <v>PASS</v>
      </c>
    </row>
    <row r="48" customFormat="false" ht="15" hidden="false" customHeight="false" outlineLevel="0" collapsed="false">
      <c r="A48" s="7" t="s">
        <v>157</v>
      </c>
      <c r="B48" s="7" t="s">
        <v>187</v>
      </c>
      <c r="C48" s="21" t="n">
        <v>0</v>
      </c>
      <c r="D48" s="21" t="n">
        <f aca="false">'Income account'!L44</f>
        <v>0</v>
      </c>
      <c r="E48" s="37" t="n">
        <f aca="false">D48-C48</f>
        <v>0</v>
      </c>
      <c r="F48" s="38" t="str">
        <f aca="false">IF(ABS(E48)&lt;=0.5,"PASS","FAIL")</f>
        <v>PASS</v>
      </c>
    </row>
    <row r="49" customFormat="false" ht="15" hidden="false" customHeight="false" outlineLevel="0" collapsed="false">
      <c r="A49" s="39" t="s">
        <v>157</v>
      </c>
      <c r="B49" s="39" t="s">
        <v>188</v>
      </c>
      <c r="C49" s="40" t="n">
        <v>357697</v>
      </c>
      <c r="D49" s="40" t="n">
        <f aca="false">'Income account'!B35</f>
        <v>357697.037711311</v>
      </c>
      <c r="E49" s="41" t="n">
        <f aca="false">D49-C49</f>
        <v>0.0377113110735081</v>
      </c>
      <c r="F49" s="42" t="str">
        <f aca="false">IF(ABS(E49)&lt;=3,"PASS","FAIL")</f>
        <v>PASS</v>
      </c>
    </row>
    <row r="50" customFormat="false" ht="15" hidden="false" customHeight="false" outlineLevel="0" collapsed="false">
      <c r="A50" s="7" t="s">
        <v>157</v>
      </c>
      <c r="B50" s="7" t="s">
        <v>189</v>
      </c>
      <c r="C50" s="21" t="n">
        <v>1850000</v>
      </c>
      <c r="D50" s="21" t="n">
        <f aca="false">'Income account'!B45</f>
        <v>1850000</v>
      </c>
      <c r="E50" s="37" t="n">
        <f aca="false">D50-C50</f>
        <v>0</v>
      </c>
      <c r="F50" s="38" t="str">
        <f aca="false">IF(ABS(E50)&lt;=0.5,"PASS","FAIL")</f>
        <v>PASS</v>
      </c>
    </row>
    <row r="51" customFormat="false" ht="15" hidden="false" customHeight="false" outlineLevel="0" collapsed="false">
      <c r="A51" s="39" t="s">
        <v>157</v>
      </c>
      <c r="B51" s="39" t="s">
        <v>190</v>
      </c>
      <c r="C51" s="40" t="n">
        <v>610000</v>
      </c>
      <c r="D51" s="40" t="n">
        <f aca="false">'Income account'!D45</f>
        <v>610000</v>
      </c>
      <c r="E51" s="41" t="n">
        <f aca="false">D51-C51</f>
        <v>0</v>
      </c>
      <c r="F51" s="42" t="str">
        <f aca="false">IF(ABS(E51)&lt;=0.5,"PASS","FAIL")</f>
        <v>PASS</v>
      </c>
    </row>
    <row r="52" customFormat="false" ht="15" hidden="false" customHeight="false" outlineLevel="0" collapsed="false">
      <c r="A52" s="7" t="s">
        <v>157</v>
      </c>
      <c r="B52" s="7" t="s">
        <v>191</v>
      </c>
      <c r="C52" s="21" t="n">
        <v>0</v>
      </c>
      <c r="D52" s="21" t="n">
        <f aca="false">'Income account'!E45</f>
        <v>0</v>
      </c>
      <c r="E52" s="37" t="n">
        <f aca="false">D52-C52</f>
        <v>0</v>
      </c>
      <c r="F52" s="38" t="str">
        <f aca="false">IF(ABS(E52)&lt;=0.5,"PASS","FAIL")</f>
        <v>PASS</v>
      </c>
    </row>
    <row r="53" customFormat="false" ht="15" hidden="false" customHeight="false" outlineLevel="0" collapsed="false">
      <c r="A53" s="39" t="s">
        <v>157</v>
      </c>
      <c r="B53" s="39" t="s">
        <v>192</v>
      </c>
      <c r="C53" s="40" t="n">
        <v>-265863</v>
      </c>
      <c r="D53" s="40" t="n">
        <f aca="false">'Income account'!B46</f>
        <v>-265863.292</v>
      </c>
      <c r="E53" s="41" t="n">
        <f aca="false">D53-C53</f>
        <v>-0.292000000132248</v>
      </c>
      <c r="F53" s="42" t="str">
        <f aca="false">IF(ABS(E53)&lt;=0.5,"PASS","FAIL")</f>
        <v>PASS</v>
      </c>
    </row>
    <row r="54" customFormat="false" ht="15" hidden="false" customHeight="false" outlineLevel="0" collapsed="false">
      <c r="A54" s="7" t="s">
        <v>157</v>
      </c>
      <c r="B54" s="7" t="s">
        <v>193</v>
      </c>
      <c r="C54" s="21" t="n">
        <v>1076301</v>
      </c>
      <c r="D54" s="21" t="n">
        <f aca="false">'Income account'!C46</f>
        <v>1076300.832</v>
      </c>
      <c r="E54" s="37" t="n">
        <f aca="false">D54-C54</f>
        <v>-0.16800000006333</v>
      </c>
      <c r="F54" s="38" t="str">
        <f aca="false">IF(ABS(E54)&lt;=0.5,"PASS","FAIL")</f>
        <v>PASS</v>
      </c>
    </row>
    <row r="55" customFormat="false" ht="15" hidden="false" customHeight="false" outlineLevel="0" collapsed="false">
      <c r="A55" s="39" t="s">
        <v>157</v>
      </c>
      <c r="B55" s="39" t="s">
        <v>194</v>
      </c>
      <c r="C55" s="40" t="n">
        <v>1306933</v>
      </c>
      <c r="D55" s="40" t="n">
        <f aca="false">'Income account'!D46</f>
        <v>1306933.15772</v>
      </c>
      <c r="E55" s="41" t="n">
        <f aca="false">D55-C55</f>
        <v>0.157720000017434</v>
      </c>
      <c r="F55" s="42" t="str">
        <f aca="false">IF(ABS(E55)&lt;=0.5,"PASS","FAIL")</f>
        <v>PASS</v>
      </c>
    </row>
    <row r="56" customFormat="false" ht="15" hidden="false" customHeight="false" outlineLevel="0" collapsed="false">
      <c r="A56" s="7" t="s">
        <v>157</v>
      </c>
      <c r="B56" s="7" t="s">
        <v>195</v>
      </c>
      <c r="C56" s="21" t="n">
        <v>1842137</v>
      </c>
      <c r="D56" s="21" t="n">
        <f aca="false">'Income account'!E46</f>
        <v>1842136.6252437</v>
      </c>
      <c r="E56" s="37" t="n">
        <f aca="false">D56-C56</f>
        <v>-0.374756300123408</v>
      </c>
      <c r="F56" s="38" t="str">
        <f aca="false">IF(ABS(E56)&lt;=0.5,"PASS","FAIL")</f>
        <v>PASS</v>
      </c>
    </row>
    <row r="57" customFormat="false" ht="15" hidden="false" customHeight="false" outlineLevel="0" collapsed="false">
      <c r="A57" s="39" t="s">
        <v>157</v>
      </c>
      <c r="B57" s="39" t="s">
        <v>196</v>
      </c>
      <c r="C57" s="40" t="n">
        <v>1816235</v>
      </c>
      <c r="D57" s="40" t="n">
        <f aca="false">'Income account'!I46</f>
        <v>1816235.08603718</v>
      </c>
      <c r="E57" s="41" t="n">
        <f aca="false">D57-C57</f>
        <v>0.0860371782910079</v>
      </c>
      <c r="F57" s="42" t="str">
        <f aca="false">IF(ABS(E57)&lt;=0.5,"PASS","FAIL")</f>
        <v>PASS</v>
      </c>
    </row>
    <row r="58" customFormat="false" ht="15" hidden="false" customHeight="false" outlineLevel="0" collapsed="false">
      <c r="A58" s="7" t="s">
        <v>157</v>
      </c>
      <c r="B58" s="7" t="s">
        <v>197</v>
      </c>
      <c r="C58" s="21" t="n">
        <v>2170570</v>
      </c>
      <c r="D58" s="21" t="n">
        <f aca="false">'Income account'!K46</f>
        <v>2170569.61837956</v>
      </c>
      <c r="E58" s="37" t="n">
        <f aca="false">D58-C58</f>
        <v>-0.381620435975492</v>
      </c>
      <c r="F58" s="38" t="str">
        <f aca="false">IF(ABS(E58)&lt;=0.5,"PASS","FAIL")</f>
        <v>PASS</v>
      </c>
    </row>
    <row r="59" customFormat="false" ht="15" hidden="false" customHeight="false" outlineLevel="0" collapsed="false">
      <c r="A59" s="39" t="s">
        <v>198</v>
      </c>
      <c r="B59" s="39" t="s">
        <v>199</v>
      </c>
      <c r="C59" s="40" t="n">
        <v>2453319</v>
      </c>
      <c r="D59" s="40" t="n">
        <f aca="false">'Income account'!L43</f>
        <v>2453319.3920416</v>
      </c>
      <c r="E59" s="41" t="n">
        <f aca="false">D59-C59</f>
        <v>0.392041597515345</v>
      </c>
      <c r="F59" s="42" t="str">
        <f aca="false">IF(ABS(E59)&lt;=0.5,"PASS","FAIL")</f>
        <v>PASS</v>
      </c>
    </row>
    <row r="60" customFormat="false" ht="15" hidden="false" customHeight="false" outlineLevel="0" collapsed="false">
      <c r="A60" s="7" t="s">
        <v>147</v>
      </c>
      <c r="B60" s="7" t="s">
        <v>200</v>
      </c>
      <c r="C60" s="46" t="n">
        <v>6.2403</v>
      </c>
      <c r="D60" s="46" t="n">
        <f aca="false">'The calendar, priced'!C18</f>
        <v>6.24030712608668</v>
      </c>
      <c r="E60" s="46" t="n">
        <f aca="false">D60-C60</f>
        <v>7.12608667985393E-006</v>
      </c>
      <c r="F60" s="11" t="str">
        <f aca="false">IF(ABS(E60)&lt;=0.00005,"PASS","FAIL")</f>
        <v>PASS</v>
      </c>
    </row>
    <row r="61" customFormat="false" ht="15" hidden="false" customHeight="false" outlineLevel="0" collapsed="false">
      <c r="A61" s="7" t="s">
        <v>147</v>
      </c>
      <c r="B61" s="7" t="s">
        <v>120</v>
      </c>
      <c r="C61" s="23" t="n">
        <v>0.449331</v>
      </c>
      <c r="D61" s="23" t="n">
        <f aca="false">'The calendar, priced'!C19</f>
        <v>0.449330541278</v>
      </c>
      <c r="E61" s="23" t="n">
        <f aca="false">D61-C61</f>
        <v>-4.58722000218348E-007</v>
      </c>
      <c r="F61" s="11" t="str">
        <f aca="false">IF(ABS(E61)&lt;=0.0000005,"PASS","FAIL")</f>
        <v>PASS</v>
      </c>
    </row>
    <row r="62" customFormat="false" ht="15" hidden="false" customHeight="false" outlineLevel="0" collapsed="false">
      <c r="A62" s="7" t="s">
        <v>147</v>
      </c>
      <c r="B62" s="7" t="s">
        <v>201</v>
      </c>
      <c r="C62" s="23" t="n">
        <v>0.676741</v>
      </c>
      <c r="D62" s="23" t="n">
        <f aca="false">'The calendar, priced'!C20</f>
        <v>0.676740573365344</v>
      </c>
      <c r="E62" s="23" t="n">
        <f aca="false">D62-C62</f>
        <v>-4.26634656158775E-007</v>
      </c>
      <c r="F62" s="11" t="str">
        <f aca="false">IF(ABS(E62)&lt;=0.0000005,"PASS","FAIL")</f>
        <v>PASS</v>
      </c>
    </row>
    <row r="63" customFormat="false" ht="15" hidden="false" customHeight="false" outlineLevel="0" collapsed="false">
      <c r="A63" s="7" t="s">
        <v>147</v>
      </c>
      <c r="B63" s="7" t="s">
        <v>202</v>
      </c>
      <c r="C63" s="23" t="n">
        <v>0.14525</v>
      </c>
      <c r="D63" s="23" t="n">
        <f aca="false">'The calendar, priced'!C21</f>
        <v>0.145250333142966</v>
      </c>
      <c r="E63" s="23" t="n">
        <f aca="false">D63-C63</f>
        <v>3.33142965935895E-007</v>
      </c>
      <c r="F63" s="11" t="str">
        <f aca="false">IF(ABS(E63)&lt;=0.0000005,"PASS","FAIL")</f>
        <v>PASS</v>
      </c>
    </row>
    <row r="64" customFormat="false" ht="15" hidden="false" customHeight="false" outlineLevel="0" collapsed="false">
      <c r="A64" s="7" t="s">
        <v>147</v>
      </c>
      <c r="B64" s="7" t="s">
        <v>203</v>
      </c>
      <c r="C64" s="23" t="n">
        <v>0.333333</v>
      </c>
      <c r="D64" s="23" t="n">
        <f aca="false">'The calendar, priced'!E11</f>
        <v>0.333333333333333</v>
      </c>
      <c r="E64" s="23" t="n">
        <f aca="false">D64-C64</f>
        <v>3.33333333268904E-007</v>
      </c>
      <c r="F64" s="11" t="str">
        <f aca="false">IF(ABS(E64)&lt;=0.0000005,"PASS","FAIL")</f>
        <v>PASS</v>
      </c>
    </row>
    <row r="65" customFormat="false" ht="15" hidden="false" customHeight="false" outlineLevel="0" collapsed="false">
      <c r="A65" s="7" t="s">
        <v>147</v>
      </c>
      <c r="B65" s="7" t="s">
        <v>204</v>
      </c>
      <c r="C65" s="23" t="n">
        <v>0.299829</v>
      </c>
      <c r="D65" s="23" t="n">
        <f aca="false">'The calendar, priced'!F7</f>
        <v>0.29982866933181</v>
      </c>
      <c r="E65" s="23" t="n">
        <f aca="false">D65-C65</f>
        <v>-3.30668189607586E-007</v>
      </c>
      <c r="F65" s="11" t="str">
        <f aca="false">IF(ABS(E65)&lt;=0.0000005,"PASS","FAIL")</f>
        <v>PASS</v>
      </c>
    </row>
    <row r="66" customFormat="false" ht="15" hidden="false" customHeight="false" outlineLevel="0" collapsed="false">
      <c r="A66" s="7" t="s">
        <v>157</v>
      </c>
      <c r="B66" s="7" t="s">
        <v>205</v>
      </c>
      <c r="C66" s="21" t="n">
        <v>20757576</v>
      </c>
      <c r="D66" s="21" t="n">
        <f aca="false">'The calendar, priced'!C37</f>
        <v>20757574.8856735</v>
      </c>
      <c r="E66" s="21" t="n">
        <f aca="false">D66-C66</f>
        <v>-1.11432650312781</v>
      </c>
      <c r="F66" s="11" t="str">
        <f aca="false">IF(ABS(E66)&lt;=1.5,"PASS","FAIL")</f>
        <v>PASS</v>
      </c>
    </row>
    <row r="67" customFormat="false" ht="15" hidden="false" customHeight="false" outlineLevel="0" collapsed="false">
      <c r="A67" s="7" t="s">
        <v>157</v>
      </c>
      <c r="B67" s="7" t="s">
        <v>206</v>
      </c>
      <c r="C67" s="21" t="n">
        <v>16501697</v>
      </c>
      <c r="D67" s="21" t="n">
        <f aca="false">'The calendar, priced'!C38</f>
        <v>16501696.050706</v>
      </c>
      <c r="E67" s="21" t="n">
        <f aca="false">D67-C67</f>
        <v>-0.949293976649642</v>
      </c>
      <c r="F67" s="11" t="str">
        <f aca="false">IF(ABS(E67)&lt;=1,"PASS","FAIL")</f>
        <v>PASS</v>
      </c>
    </row>
    <row r="68" customFormat="false" ht="15" hidden="false" customHeight="false" outlineLevel="0" collapsed="false">
      <c r="A68" s="7" t="s">
        <v>157</v>
      </c>
      <c r="B68" s="7" t="s">
        <v>207</v>
      </c>
      <c r="C68" s="34" t="n">
        <v>1788485.18</v>
      </c>
      <c r="D68" s="34" t="n">
        <f aca="false">'The calendar, priced'!D35</f>
        <v>1788485.18855656</v>
      </c>
      <c r="E68" s="34" t="n">
        <f aca="false">D68-C68</f>
        <v>0.00855655549094081</v>
      </c>
      <c r="F68" s="11" t="str">
        <f aca="false">IF(ABS(E68)&lt;=0.01,"PASS","FAIL")</f>
        <v>PASS</v>
      </c>
    </row>
    <row r="69" customFormat="false" ht="15" hidden="false" customHeight="false" outlineLevel="0" collapsed="false">
      <c r="A69" s="7" t="s">
        <v>208</v>
      </c>
      <c r="B69" s="7" t="s">
        <v>209</v>
      </c>
      <c r="C69" s="34" t="n">
        <v>357697.04</v>
      </c>
      <c r="D69" s="34" t="n">
        <f aca="false">'The calendar, priced'!E35</f>
        <v>357697.037711311</v>
      </c>
      <c r="E69" s="34" t="n">
        <f aca="false">D69-C69</f>
        <v>-0.00228868884732947</v>
      </c>
      <c r="F69" s="11" t="str">
        <f aca="false">IF(ABS(E69)&lt;=0.01,"PASS","FAIL")</f>
        <v>PASS</v>
      </c>
    </row>
    <row r="70" customFormat="false" ht="15" hidden="false" customHeight="false" outlineLevel="0" collapsed="false">
      <c r="A70" s="7" t="s">
        <v>208</v>
      </c>
      <c r="B70" s="7" t="s">
        <v>210</v>
      </c>
      <c r="C70" s="34" t="n">
        <v>2146182.22</v>
      </c>
      <c r="D70" s="34" t="n">
        <f aca="false">'The calendar, priced'!F35</f>
        <v>2146182.22626787</v>
      </c>
      <c r="E70" s="34" t="n">
        <f aca="false">D70-C70</f>
        <v>0.00626786658540368</v>
      </c>
      <c r="F70" s="11" t="str">
        <f aca="false">IF(ABS(E70)&lt;=0.01,"PASS","FAIL")</f>
        <v>PASS</v>
      </c>
    </row>
    <row r="71" customFormat="false" ht="15" hidden="false" customHeight="false" outlineLevel="0" collapsed="false">
      <c r="A71" s="7" t="s">
        <v>208</v>
      </c>
      <c r="B71" s="7" t="s">
        <v>211</v>
      </c>
      <c r="C71" s="34" t="n">
        <v>530049.29</v>
      </c>
      <c r="D71" s="34" t="n">
        <f aca="false">'The calendar, priced'!F25</f>
        <v>530049.296750361</v>
      </c>
      <c r="E71" s="34" t="n">
        <f aca="false">D71-C71</f>
        <v>0.0067503604805097</v>
      </c>
      <c r="F71" s="11" t="str">
        <f aca="false">IF(ABS(E71)&lt;=0.01,"PASS","FAIL")</f>
        <v>PASS</v>
      </c>
    </row>
    <row r="72" customFormat="false" ht="15" hidden="false" customHeight="false" outlineLevel="0" collapsed="false">
      <c r="A72" s="7" t="s">
        <v>157</v>
      </c>
      <c r="B72" s="7" t="s">
        <v>212</v>
      </c>
      <c r="C72" s="23" t="n">
        <v>0.103393</v>
      </c>
      <c r="D72" s="23" t="n">
        <f aca="false">'The calendar, priced'!C39</f>
        <v>0.10339272473246</v>
      </c>
      <c r="E72" s="23" t="n">
        <f aca="false">D72-C72</f>
        <v>-2.75267539900925E-007</v>
      </c>
      <c r="F72" s="11" t="str">
        <f aca="false">IF(ABS(E72)&lt;=0.0000005,"PASS","FAIL")</f>
        <v>PASS</v>
      </c>
    </row>
    <row r="73" customFormat="false" ht="15" hidden="false" customHeight="false" outlineLevel="0" collapsed="false">
      <c r="A73" s="7" t="s">
        <v>208</v>
      </c>
      <c r="B73" s="7" t="s">
        <v>132</v>
      </c>
      <c r="C73" s="21" t="n">
        <v>238465</v>
      </c>
      <c r="D73" s="21" t="n">
        <f aca="false">'The calendar, priced'!C40</f>
        <v>238464.691807541</v>
      </c>
      <c r="E73" s="21" t="n">
        <f aca="false">D73-C73</f>
        <v>-0.308192459255224</v>
      </c>
      <c r="F73" s="11" t="str">
        <f aca="false">IF(ABS(E73)&lt;=0.5,"PASS","FAIL")</f>
        <v>PASS</v>
      </c>
    </row>
    <row r="74" customFormat="false" ht="15" hidden="false" customHeight="false" outlineLevel="0" collapsed="false">
      <c r="A74" s="7" t="s">
        <v>208</v>
      </c>
      <c r="B74" s="7" t="s">
        <v>213</v>
      </c>
      <c r="C74" s="23" t="n">
        <v>0.210083</v>
      </c>
      <c r="D74" s="23" t="n">
        <f aca="false">'The calendar, priced'!C44</f>
        <v>0.210082660085904</v>
      </c>
      <c r="E74" s="23" t="n">
        <f aca="false">D74-C74</f>
        <v>-3.39914095953686E-007</v>
      </c>
      <c r="F74" s="11" t="str">
        <f aca="false">IF(ABS(E74)&lt;=0.0000005,"PASS","FAIL")</f>
        <v>PASS</v>
      </c>
    </row>
    <row r="76" customFormat="false" ht="15" hidden="false" customHeight="false" outlineLevel="0" collapsed="false">
      <c r="B76" s="11" t="s">
        <v>214</v>
      </c>
      <c r="C76" s="11" t="n">
        <f aca="false">COUNTIF(F8:F74,"PASS")</f>
        <v>67</v>
      </c>
    </row>
    <row r="77" customFormat="false" ht="15" hidden="false" customHeight="false" outlineLevel="0" collapsed="false">
      <c r="B77" s="11" t="s">
        <v>215</v>
      </c>
      <c r="C77" s="11" t="n">
        <f aca="false">COUNTIF(F8:F74,"FAIL")</f>
        <v>0</v>
      </c>
    </row>
    <row r="78" customFormat="false" ht="15" hidden="false" customHeight="false" outlineLevel="0" collapsed="false">
      <c r="B78" s="11" t="s">
        <v>216</v>
      </c>
      <c r="C78" s="11" t="str">
        <f aca="false">IF(C77=0,"ALL OK",C77&amp;"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2026-08-29T20:19:39Z</dcterms:created>
  <dc:creator>openpyxl</dc:creator>
  <dc:description/>
  <dc:language>en-US</dc:language>
  <cp:lastModifiedBy/>
  <dcterms:modified xsi:type="dcterms:W3CDTF">2026-09-23T23:30:40Z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