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nt roll" sheetId="3" state="visible" r:id="rId5"/>
    <sheet name="Income account" sheetId="4" state="visible" r:id="rId6"/>
    <sheet name="Yields" sheetId="5" state="visible" r:id="rId7"/>
    <sheet name="Cash flows" sheetId="6" state="visible" r:id="rId8"/>
    <sheet name="Exit yield" sheetId="7" state="visible" r:id="rId9"/>
    <sheet name="Waterfall" sheetId="8" state="visible" r:id="rId10"/>
    <sheet name="Other exits" sheetId="9" state="visible" r:id="rId11"/>
    <sheet name="Checks" sheetId="10" state="visible" r:id="rId12"/>
  </sheets>
  <definedNames>
    <definedName function="false" hidden="false" name="AcqPct" vbProcedure="false">Inputs!$B$9</definedName>
    <definedName function="false" hidden="false" name="AllIn" vbProcedure="false">Inputs!$B$12</definedName>
    <definedName function="false" hidden="false" name="AMFee" vbProcedure="false">Inputs!$B$38</definedName>
    <definedName function="false" hidden="false" name="AMPct" vbProcedure="false">Inputs!$B$37</definedName>
    <definedName function="false" hidden="false" name="AMTotal" vbProcedure="false">Inputs!$B$40</definedName>
    <definedName function="false" hidden="false" name="Area" vbProcedure="false">Inputs!$B$7</definedName>
    <definedName function="false" hidden="false" name="AreaTot" vbProcedure="false">'Rent roll'!$B$18</definedName>
    <definedName function="false" hidden="false" name="ArrFee" vbProcedure="false">Inputs!$B$32</definedName>
    <definedName function="false" hidden="false" name="ArrPct" vbProcedure="false">Inputs!$B$31</definedName>
    <definedName function="false" hidden="false" name="CapexAmt" vbProcedure="false">Inputs!$C$49:$C$51</definedName>
    <definedName function="false" hidden="false" name="CapexTot" vbProcedure="false">Inputs!$B$11</definedName>
    <definedName function="false" hidden="false" name="CapexYr" vbProcedure="false">Inputs!$B$49:$B$51</definedName>
    <definedName function="false" hidden="false" name="CatchUp" vbProcedure="false">Inputs!$B$43</definedName>
    <definedName function="false" hidden="false" name="Debt" vbProcedure="false">Inputs!$B$28</definedName>
    <definedName function="false" hidden="false" name="DebtRate" vbProcedure="false">Inputs!$B$29</definedName>
    <definedName function="false" hidden="false" name="EntryYield" vbProcedure="false">Yields!$D$13</definedName>
    <definedName function="false" hidden="false" name="EqFlows" vbProcedure="false">'Cash flows'!$B$28:$L$28</definedName>
    <definedName function="false" hidden="false" name="Equity0" vbProcedure="false">Inputs!$B$33</definedName>
    <definedName function="false" hidden="false" name="ErvTot" vbProcedure="false">'Rent roll'!$D$18</definedName>
    <definedName function="false" hidden="false" name="ExitNOI" vbProcedure="false">'Cash flows'!$B$7</definedName>
    <definedName function="false" hidden="false" name="ExitYld" vbProcedure="false">Inputs!$B$21</definedName>
    <definedName function="false" hidden="false" name="GearAlt" vbProcedure="false">Inputs!$B$44</definedName>
    <definedName function="false" hidden="false" name="Gearing" vbProcedure="false">Inputs!$B$27</definedName>
    <definedName function="false" hidden="false" name="GrossExit" vbProcedure="false">'Cash flows'!$B$9</definedName>
    <definedName function="false" hidden="false" name="Growth" vbProcedure="false">Inputs!$B$16</definedName>
    <definedName function="false" hidden="false" name="Hold" vbProcedure="false">Inputs!$B$39</definedName>
    <definedName function="false" hidden="false" name="Interest" vbProcedure="false">Inputs!$B$30</definedName>
    <definedName function="false" hidden="false" name="LetFee" vbProcedure="false">Inputs!$B$18</definedName>
    <definedName function="false" hidden="false" name="LetFrac" vbProcedure="false">Inputs!$B$23</definedName>
    <definedName function="false" hidden="false" name="MgmtFee" vbProcedure="false">Inputs!$B$20</definedName>
    <definedName function="false" hidden="false" name="NetExit" vbProcedure="false">'Cash flows'!$B$11</definedName>
    <definedName function="false" hidden="false" name="NonRec" vbProcedure="false">Inputs!$B$19</definedName>
    <definedName function="false" hidden="false" name="PassRent" vbProcedure="false">'Rent roll'!$C$18</definedName>
    <definedName function="false" hidden="false" name="Pref" vbProcedure="false">Inputs!$B$41</definedName>
    <definedName function="false" hidden="false" name="Price" vbProcedure="false">Inputs!$B$8</definedName>
    <definedName function="false" hidden="false" name="Promote" vbProcedure="false">Inputs!$B$42</definedName>
    <definedName function="false" hidden="false" name="PropFlows" vbProcedure="false">'Cash flows'!$B$24:$L$24</definedName>
    <definedName function="false" hidden="false" name="SaleCost" vbProcedure="false">Inputs!$B$22</definedName>
    <definedName function="false" hidden="false" name="StabNOI" vbProcedure="false">'Rent roll'!$C$25</definedName>
    <definedName function="false" hidden="false" name="TotCost" vbProcedure="false">Inputs!$B$10</definedName>
    <definedName function="false" hidden="false" name="VoidMth" vbProcedure="false">Inputs!$B$17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<sst xmlns="http://schemas.openxmlformats.org/spreadsheetml/2006/main" count="422" uniqueCount="325">
  <si>
    <t xml:space="preserve">Commercial Real Estate Investing - The Sale and the Yield</t>
  </si>
  <si>
    <t xml:space="preserve">Companion workbook 2, by Julian R. Sterling</t>
  </si>
  <si>
    <t xml:space="preserve">What this workbook does</t>
  </si>
  <si>
    <t xml:space="preserve">It prices the sale and takes the yield apart. Six entry yields are computed side by side, each with the reason it is or is not the same kind of number as an exit yield; the one that is comparable is derived on the sheet and assumed nowhere.</t>
  </si>
  <si>
    <t xml:space="preserve">The first experiment to run</t>
  </si>
  <si>
    <t xml:space="preserve">On the Cash flows sheet, read the two lines under the sale: the estate priced on the net operating income of year eleven, and priced on year ten. Year ten is the year of a re-letting and carries a void, so capitalising it prices the void into perpetuity. The year the sale is priced on is a choice, and it is worth millions.</t>
  </si>
  <si>
    <t xml:space="preserve">The second</t>
  </si>
  <si>
    <t xml:space="preserve">On the Exit yield sheet, walk down the promote column. It is nothing at seven per cent and 4,752,834 at five and a half. The last row computes, in closed form, the exit yield at which the promote first appears: 6.9853 per cent, which is 0.0702 points inside the yield the estate was bought at. Every pound of promote on this deal was bought by the yield moving.</t>
  </si>
  <si>
    <t xml:space="preserve">How the sensitivity is built</t>
  </si>
  <si>
    <t xml:space="preserve">Changing the exit yield changes exactly one number in the model: the flow of year ten. The three blocks under the table carry the property, equity and investor flows for each yield, and the returns are the IRR worksheet function over them. Nothing is carried.</t>
  </si>
  <si>
    <t xml:space="preserve">On the checks</t>
  </si>
  <si>
    <t xml:space="preserve">The Checks sheet reproduces by formula each figure printed in the book. Column C is typed from the page; column D is computed here. If a check says FAIL, the workbook is wrong, not the book.</t>
  </si>
  <si>
    <t xml:space="preserve">Inputs, and what is derived from them</t>
  </si>
  <si>
    <t xml:space="preserve">Blue figures on a yellow ground are inputs. Everything else, on every sheet, is a live formula.</t>
  </si>
  <si>
    <t xml:space="preserve">The asset and the purchase</t>
  </si>
  <si>
    <t xml:space="preserve">Lettable area, square metres</t>
  </si>
  <si>
    <t xml:space="preserve">Purchase price</t>
  </si>
  <si>
    <t xml:space="preserve">Acquisition costs, share of the price</t>
  </si>
  <si>
    <t xml:space="preserve">Total cost = price x (1 + acquisition costs)</t>
  </si>
  <si>
    <t xml:space="preserve">the price of revenue, not the headline price</t>
  </si>
  <si>
    <t xml:space="preserve">Capital programme, the three years below</t>
  </si>
  <si>
    <t xml:space="preserve">All-in capital = total cost + capital programme</t>
  </si>
  <si>
    <t xml:space="preserve">the capital an exit yield has to be compared against</t>
  </si>
  <si>
    <t xml:space="preserve">The seven market assumptions, and there are no others</t>
  </si>
  <si>
    <t xml:space="preserve">Rental value growth, a year</t>
  </si>
  <si>
    <t xml:space="preserve">Void between two leases, months</t>
  </si>
  <si>
    <t xml:space="preserve">applied without exception, including the two units empty at acquisition</t>
  </si>
  <si>
    <t xml:space="preserve">Letting fee, share of the new annual rent</t>
  </si>
  <si>
    <t xml:space="preserve">charged in the year the letting completes</t>
  </si>
  <si>
    <t xml:space="preserve">Non-recoverable costs, share of passing rent</t>
  </si>
  <si>
    <t xml:space="preserve">Management fee, share of passing rent</t>
  </si>
  <si>
    <t xml:space="preserve">Exit yield, central case</t>
  </si>
  <si>
    <t xml:space="preserve">Cost of sale, share of the gross price</t>
  </si>
  <si>
    <t xml:space="preserve">Share of a year collected after a void = (12 - void) / 12</t>
  </si>
  <si>
    <t xml:space="preserve">three twelfths: the year after an expiry collects a quarter of the new rent</t>
  </si>
  <si>
    <t xml:space="preserve">The debt</t>
  </si>
  <si>
    <t xml:space="preserve">Loan to value, on the PRICE and not on the cost</t>
  </si>
  <si>
    <t xml:space="preserve">Debt = price x loan to value</t>
  </si>
  <si>
    <t xml:space="preserve">Fixed rate, interest only, repaid at exit</t>
  </si>
  <si>
    <t xml:space="preserve">Interest each year = debt x rate</t>
  </si>
  <si>
    <t xml:space="preserve">Arrangement fee, share of the debt</t>
  </si>
  <si>
    <t xml:space="preserve">Arrangement fee = debt x share</t>
  </si>
  <si>
    <t xml:space="preserve">Equity at completion = total cost + arrangement fee - debt</t>
  </si>
  <si>
    <t xml:space="preserve">The manager</t>
  </si>
  <si>
    <t xml:space="preserve">Asset management fee, share of total cost, a year</t>
  </si>
  <si>
    <t xml:space="preserve">Asset management fee each year = total cost x share</t>
  </si>
  <si>
    <t xml:space="preserve">Hold period, years</t>
  </si>
  <si>
    <t xml:space="preserve">Asset management fees over the hold</t>
  </si>
  <si>
    <t xml:space="preserve">Preferred return, on unreturned capital</t>
  </si>
  <si>
    <t xml:space="preserve">Promote, above the preferred return</t>
  </si>
  <si>
    <t xml:space="preserve">Catch-up multiple = promote / (1 - promote)</t>
  </si>
  <si>
    <t xml:space="preserve">the manager's share of the preferred return once the catch-up is complete</t>
  </si>
  <si>
    <t xml:space="preserve">Second gearing, for the convention test</t>
  </si>
  <si>
    <t xml:space="preserve">the 35 per cent case of chapter 13</t>
  </si>
  <si>
    <t xml:space="preserve">The capital programme</t>
  </si>
  <si>
    <t xml:space="preserve">Year</t>
  </si>
  <si>
    <t xml:space="preserve">What it pays for</t>
  </si>
  <si>
    <t xml:space="preserve">Phase 1</t>
  </si>
  <si>
    <t xml:space="preserve">Refurbishment of Units 9 and 12</t>
  </si>
  <si>
    <t xml:space="preserve">Phase 2</t>
  </si>
  <si>
    <t xml:space="preserve">Estate roof and service yard</t>
  </si>
  <si>
    <t xml:space="preserve">Phase 3</t>
  </si>
  <si>
    <t xml:space="preserve">Second phase of the refurbishment</t>
  </si>
  <si>
    <t xml:space="preserve">Total</t>
  </si>
  <si>
    <t xml:space="preserve">The rent roll at acquisition</t>
  </si>
  <si>
    <t xml:space="preserve">Ten units. The re-let rent is derived from the rule, not typed.</t>
  </si>
  <si>
    <t xml:space="preserve">A lease expiring at the end of year e is re-let at the greater of the passing rent and the unit's rental value indexed to year e. A unit empty at acquisition is let in year one at its rental value indexed one year. Change an expiry year or a rental value and every line on every sheet moves.</t>
  </si>
  <si>
    <t xml:space="preserve">Unit</t>
  </si>
  <si>
    <t xml:space="preserve">Area (m2)</t>
  </si>
  <si>
    <t xml:space="preserve">Passing rent</t>
  </si>
  <si>
    <t xml:space="preserve">Rental value</t>
  </si>
  <si>
    <t xml:space="preserve">Lease expires end of year</t>
  </si>
  <si>
    <t xml:space="preserve">Re-let in year</t>
  </si>
  <si>
    <t xml:space="preserve">Re-let rent</t>
  </si>
  <si>
    <t xml:space="preserve">Letting fee</t>
  </si>
  <si>
    <t xml:space="preserve">Ardgour Logistics</t>
  </si>
  <si>
    <t xml:space="preserve">Kilmory Print</t>
  </si>
  <si>
    <t xml:space="preserve">Tannoch Foods</t>
  </si>
  <si>
    <t xml:space="preserve">Struan Instruments</t>
  </si>
  <si>
    <t xml:space="preserve">Balvaig Textiles</t>
  </si>
  <si>
    <t xml:space="preserve">Corrour Systems</t>
  </si>
  <si>
    <t xml:space="preserve">Dunardry Media</t>
  </si>
  <si>
    <t xml:space="preserve">Eilanreach Labs</t>
  </si>
  <si>
    <t xml:space="preserve">Unit 9 (empty at acquisition)</t>
  </si>
  <si>
    <t xml:space="preserve">Unit 12 (empty at acquisition)</t>
  </si>
  <si>
    <t xml:space="preserve">TOTAL</t>
  </si>
  <si>
    <t xml:space="preserve">What the roll says before a single formula is run</t>
  </si>
  <si>
    <t xml:space="preserve">Vacant area, share of the estate</t>
  </si>
  <si>
    <t xml:space="preserve">two units, 2,920 square metres</t>
  </si>
  <si>
    <t xml:space="preserve">Vacant rental value, share of the estate</t>
  </si>
  <si>
    <t xml:space="preserve">Reversion, rental value over passing rent</t>
  </si>
  <si>
    <t xml:space="preserve">Stabilised net income = rental value net of costs and management</t>
  </si>
  <si>
    <t xml:space="preserve">the only income an exit yield can be compared with</t>
  </si>
  <si>
    <t xml:space="preserve">The income account, eleven years</t>
  </si>
  <si>
    <t xml:space="preserve">Built from the rent roll and the void convention. Nothing on this sheet is typed.</t>
  </si>
  <si>
    <t xml:space="preserve">A lease expiring at the end of year e pays its old rent to year e, three twelfths of the new rent in year e+1, and the whole of the new rent after that. Year eleven is here because the sale is priced on it.</t>
  </si>
  <si>
    <t xml:space="preserve">What each unit pays, year by year</t>
  </si>
  <si>
    <t xml:space="preserve">Total rent</t>
  </si>
  <si>
    <t xml:space="preserve">The letting fees, unit by unit</t>
  </si>
  <si>
    <t xml:space="preserve">Total letting fees</t>
  </si>
  <si>
    <t xml:space="preserve">Letting fees over the eleven years</t>
  </si>
  <si>
    <t xml:space="preserve">The income account</t>
  </si>
  <si>
    <t xml:space="preserve">Rent received</t>
  </si>
  <si>
    <t xml:space="preserve">Non-recoverable costs</t>
  </si>
  <si>
    <t xml:space="preserve">Management</t>
  </si>
  <si>
    <t xml:space="preserve">Net operating income</t>
  </si>
  <si>
    <t xml:space="preserve">Letting fees</t>
  </si>
  <si>
    <t xml:space="preserve">Capital expenditure</t>
  </si>
  <si>
    <t xml:space="preserve">Net income from the estate</t>
  </si>
  <si>
    <t xml:space="preserve">The rent line falls in years three, four, six, eight and ten. Those are the years after an expiry, and the fall is the nine-month void, not a fall in rents.</t>
  </si>
  <si>
    <t xml:space="preserve">Six yields, and the one that is comparable</t>
  </si>
  <si>
    <t xml:space="preserve">An exit yield is a stabilised income over a gross value. Only one entry yield is the same kind of thing.</t>
  </si>
  <si>
    <t xml:space="preserve">The six candidates</t>
  </si>
  <si>
    <t xml:space="preserve">What is quoted</t>
  </si>
  <si>
    <t xml:space="preserve">Income</t>
  </si>
  <si>
    <t xml:space="preserve">Capital</t>
  </si>
  <si>
    <t xml:space="preserve">Yield</t>
  </si>
  <si>
    <t xml:space="preserve">Why it is, or is not, comparable</t>
  </si>
  <si>
    <t xml:space="preserve">Passing rent over price</t>
  </si>
  <si>
    <t xml:space="preserve">Income not stabilised, capital understated: the two empty units pay nothing and the acquisition costs are not in the denominator.</t>
  </si>
  <si>
    <t xml:space="preserve">Passing rent over total cost</t>
  </si>
  <si>
    <t xml:space="preserve">Income not stabilised: the estate is a fifth empty on the day it is bought.</t>
  </si>
  <si>
    <t xml:space="preserve">Net of costs, over total cost</t>
  </si>
  <si>
    <t xml:space="preserve">Income not stabilised: correct costs, wrong income.</t>
  </si>
  <si>
    <t xml:space="preserve">Net of costs, over all-in capital</t>
  </si>
  <si>
    <t xml:space="preserve">Income not stabilised: the capital programme is in the denominator but the rent it buys is not in the numerator.</t>
  </si>
  <si>
    <t xml:space="preserve">Rental value over price</t>
  </si>
  <si>
    <t xml:space="preserve">Capital understated, and gross of costs: the reversionary yield, useful for nothing but a headline.</t>
  </si>
  <si>
    <t xml:space="preserve">Stabilised net income over all-in capital</t>
  </si>
  <si>
    <t xml:space="preserve">COMPARABLE. Stabilised income, gross value, all the capital: the only pairing an exit yield can be set beside.</t>
  </si>
  <si>
    <t xml:space="preserve">The like-for-like entry yield, derived</t>
  </si>
  <si>
    <t xml:space="preserve">Rental value of the whole estate</t>
  </si>
  <si>
    <t xml:space="preserve">Less non-recoverable costs</t>
  </si>
  <si>
    <t xml:space="preserve">Less management</t>
  </si>
  <si>
    <t xml:space="preserve">Stabilised net income</t>
  </si>
  <si>
    <t xml:space="preserve">All-in capital: price, acquisition costs, capital programme</t>
  </si>
  <si>
    <t xml:space="preserve">Like-for-like entry yield</t>
  </si>
  <si>
    <t xml:space="preserve">The yield moved, in points</t>
  </si>
  <si>
    <t xml:space="preserve">0.4055 points, and every point of promote is bought by it</t>
  </si>
  <si>
    <t xml:space="preserve">Between the first candidate and the fourth, in points</t>
  </si>
  <si>
    <t xml:space="preserve">The like-for-like entry yield of 7.0555 per cent is derived here and assumed nowhere. It is what the exit yield of 6.65 per cent has to be compared with, and the gap between them is the whole of the yield story.</t>
  </si>
  <si>
    <t xml:space="preserve">The sale, the flows and the returns</t>
  </si>
  <si>
    <t xml:space="preserve">The estate is sold on the net operating income of year eleven.</t>
  </si>
  <si>
    <t xml:space="preserve">The sale</t>
  </si>
  <si>
    <t xml:space="preserve">Net operating income of year eleven</t>
  </si>
  <si>
    <t xml:space="preserve">Exit yield</t>
  </si>
  <si>
    <t xml:space="preserve">Gross value on year eleven</t>
  </si>
  <si>
    <t xml:space="preserve">Cost of sale</t>
  </si>
  <si>
    <t xml:space="preserve">Net proceeds of the sale</t>
  </si>
  <si>
    <t xml:space="preserve">Net operating income of year ten</t>
  </si>
  <si>
    <t xml:space="preserve">the year of a re-letting, and therefore of a void</t>
  </si>
  <si>
    <t xml:space="preserve">Gross value if the sale were priced on year ten</t>
  </si>
  <si>
    <t xml:space="preserve">What pricing on year ten would cost</t>
  </si>
  <si>
    <t xml:space="preserve">The flows</t>
  </si>
  <si>
    <t xml:space="preserve">Acquisition, at total cost</t>
  </si>
  <si>
    <t xml:space="preserve">Asset management fee</t>
  </si>
  <si>
    <t xml:space="preserve">Property cash flow</t>
  </si>
  <si>
    <t xml:space="preserve">Arrangement fee</t>
  </si>
  <si>
    <t xml:space="preserve">Debt drawn and repaid</t>
  </si>
  <si>
    <t xml:space="preserve">Interest</t>
  </si>
  <si>
    <t xml:space="preserve">Equity cash flow</t>
  </si>
  <si>
    <t xml:space="preserve">What the flows earn</t>
  </si>
  <si>
    <t xml:space="preserve">Property return, unlevered</t>
  </si>
  <si>
    <t xml:space="preserve">the IRR worksheet function, over the property flows above</t>
  </si>
  <si>
    <t xml:space="preserve">Equity return, levered</t>
  </si>
  <si>
    <t xml:space="preserve">Equity multiple</t>
  </si>
  <si>
    <t xml:space="preserve">Equity profit</t>
  </si>
  <si>
    <t xml:space="preserve">Equity called in total, completion and later</t>
  </si>
  <si>
    <t xml:space="preserve">13,834,920 at completion and 1,108,947 at the end of year one</t>
  </si>
  <si>
    <t xml:space="preserve">The exit yield, from end to end</t>
  </si>
  <si>
    <t xml:space="preserve">Only the flow of year ten changes. Everything before it is the income account, untouched.</t>
  </si>
  <si>
    <t xml:space="preserve">The yields in the yellow column are chosen; every other figure on the row is computed. The last two rows are not chosen at all: one is the like-for-like entry yield derived on the Yields sheet, the other is the exit yield at which the promote first appears.</t>
  </si>
  <si>
    <t xml:space="preserve">Gross value</t>
  </si>
  <si>
    <t xml:space="preserve">Net proceeds</t>
  </si>
  <si>
    <t xml:space="preserve">Equity flow, year ten</t>
  </si>
  <si>
    <t xml:space="preserve">Property return</t>
  </si>
  <si>
    <t xml:space="preserve">Equity return</t>
  </si>
  <si>
    <t xml:space="preserve">Promote</t>
  </si>
  <si>
    <t xml:space="preserve">Investor return</t>
  </si>
  <si>
    <t xml:space="preserve">Preferred paid</t>
  </si>
  <si>
    <t xml:space="preserve">Capital returned</t>
  </si>
  <si>
    <t xml:space="preserve">Cash above</t>
  </si>
  <si>
    <t xml:space="preserve">Catch-up paid</t>
  </si>
  <si>
    <t xml:space="preserve">The property flows behind the property return</t>
  </si>
  <si>
    <t xml:space="preserve">Years zero to nine are the income account. Only year ten carries the sale.</t>
  </si>
  <si>
    <t xml:space="preserve">The equity flows behind the equity return and the multiple</t>
  </si>
  <si>
    <t xml:space="preserve">The investor's flows behind the investor return</t>
  </si>
  <si>
    <t xml:space="preserve">Years one to nine are the waterfall's own line; year ten is the distribution less the promote.</t>
  </si>
  <si>
    <t xml:space="preserve">The waterfall, year by year</t>
  </si>
  <si>
    <t xml:space="preserve">European, whole of fund: preferred return on unreturned capital, then capital, then a full catch-up, then eighty-twenty.</t>
  </si>
  <si>
    <t xml:space="preserve">The waterfall</t>
  </si>
  <si>
    <t xml:space="preserve">Distribution to the equity</t>
  </si>
  <si>
    <t xml:space="preserve">Unreturned capital, opening</t>
  </si>
  <si>
    <t xml:space="preserve">Accrued preferred return, opening</t>
  </si>
  <si>
    <t xml:space="preserve">Preferred return accrued in the year</t>
  </si>
  <si>
    <t xml:space="preserve">Call of capital credited to the account</t>
  </si>
  <si>
    <t xml:space="preserve">Preferred return paid</t>
  </si>
  <si>
    <t xml:space="preserve">Cash above capital and preferred return</t>
  </si>
  <si>
    <t xml:space="preserve">Preferred return paid to date</t>
  </si>
  <si>
    <t xml:space="preserve">Catch-up target for the manager</t>
  </si>
  <si>
    <t xml:space="preserve">Promote on the split</t>
  </si>
  <si>
    <t xml:space="preserve">To the manager, to date</t>
  </si>
  <si>
    <t xml:space="preserve">To the investor, in the year</t>
  </si>
  <si>
    <t xml:space="preserve">Unreturned capital, closing</t>
  </si>
  <si>
    <t xml:space="preserve">Accrued preferred return, closing</t>
  </si>
  <si>
    <t xml:space="preserve">What each party ends with</t>
  </si>
  <si>
    <t xml:space="preserve">Capital called in total</t>
  </si>
  <si>
    <t xml:space="preserve">Distributions to the equity in total</t>
  </si>
  <si>
    <t xml:space="preserve">To the manager, the promote</t>
  </si>
  <si>
    <t xml:space="preserve">To the investor, net of the call of year one</t>
  </si>
  <si>
    <t xml:space="preserve">Received by the investor</t>
  </si>
  <si>
    <t xml:space="preserve">The investor's return</t>
  </si>
  <si>
    <t xml:space="preserve">the IRR worksheet function over the line above</t>
  </si>
  <si>
    <t xml:space="preserve">The investor's profit above the preferred return</t>
  </si>
  <si>
    <t xml:space="preserve">The manager's take</t>
  </si>
  <si>
    <t xml:space="preserve">The manager's total take</t>
  </si>
  <si>
    <t xml:space="preserve">What the investor keeps above the hurdle</t>
  </si>
  <si>
    <t xml:space="preserve">Other exits</t>
  </si>
  <si>
    <t xml:space="preserve">Chapters 5, 14 and 18. The sale priced on year ten, any exit yield you type, and the yield at which the catch-up is complete.</t>
  </si>
  <si>
    <t xml:space="preserve">The exit capitalises net operating income: rent less non-recoverables and management. A letting fee is a one-off payment and is never capitalised.</t>
  </si>
  <si>
    <t xml:space="preserve">The sale priced on year ten, the year just ended</t>
  </si>
  <si>
    <t xml:space="preserve">Letting fee paid in year ten, Tannoch Foods</t>
  </si>
  <si>
    <t xml:space="preserve">Net income of year ten after the fee (not capitalised)</t>
  </si>
  <si>
    <t xml:space="preserve">the first edition capitalised this line, not the one above</t>
  </si>
  <si>
    <t xml:space="preserve">Gross value on year ten</t>
  </si>
  <si>
    <t xml:space="preserve">Net proceeds on year ten</t>
  </si>
  <si>
    <t xml:space="preserve">Pricing on year ten costs, gross</t>
  </si>
  <si>
    <t xml:space="preserve">Pricing on year ten costs, net proceeds</t>
  </si>
  <si>
    <t xml:space="preserve">The same, as a share of the equity at completion</t>
  </si>
  <si>
    <t xml:space="preserve">The same, in multiples of the promote</t>
  </si>
  <si>
    <t xml:space="preserve">Exit yield on year eleven that gives the same gross price</t>
  </si>
  <si>
    <t xml:space="preserve">The same, as a movement of the exit yield, points</t>
  </si>
  <si>
    <t xml:space="preserve">Year eleven over year ten, net operating income</t>
  </si>
  <si>
    <t xml:space="preserve">The same, per cent</t>
  </si>
  <si>
    <t xml:space="preserve">Average net operating income, years eight to eleven</t>
  </si>
  <si>
    <t xml:space="preserve">Gross value on that average</t>
  </si>
  <si>
    <t xml:space="preserve">Less than the gross value on year eleven</t>
  </si>
  <si>
    <t xml:space="preserve">Any exit, and what each party receives</t>
  </si>
  <si>
    <t xml:space="preserve">Type a basis year (10 or 11) and an exit yield in the yellow cells. The years before the sale are unchanged.</t>
  </si>
  <si>
    <t xml:space="preserve">Case</t>
  </si>
  <si>
    <t xml:space="preserve">Basis year</t>
  </si>
  <si>
    <t xml:space="preserve">Income capitalised</t>
  </si>
  <si>
    <t xml:space="preserve">Cash above capital and preferred</t>
  </si>
  <si>
    <t xml:space="preserve">As modelled</t>
  </si>
  <si>
    <t xml:space="preserve">Priced on year ten</t>
  </si>
  <si>
    <t xml:space="preserve">Plus one hundred basis points</t>
  </si>
  <si>
    <t xml:space="preserve">The 6.25 row</t>
  </si>
  <si>
    <t xml:space="preserve">As modelled, equity</t>
  </si>
  <si>
    <t xml:space="preserve">Priced on year ten, equity</t>
  </si>
  <si>
    <t xml:space="preserve">Plus one hundred basis points, equity</t>
  </si>
  <si>
    <t xml:space="preserve">The 6.25 row, equity</t>
  </si>
  <si>
    <t xml:space="preserve">Investor flows, after the promote</t>
  </si>
  <si>
    <t xml:space="preserve">As modelled, investor</t>
  </si>
  <si>
    <t xml:space="preserve">Priced on year ten, investor</t>
  </si>
  <si>
    <t xml:space="preserve">Plus one hundred basis points, investor</t>
  </si>
  <si>
    <t xml:space="preserve">The 6.25 row, investor</t>
  </si>
  <si>
    <t xml:space="preserve">Where the catch-up finishes</t>
  </si>
  <si>
    <t xml:space="preserve">Preferred return paid over the hold</t>
  </si>
  <si>
    <t xml:space="preserve">Cash above capital and preferred at which the catch-up is complete</t>
  </si>
  <si>
    <t xml:space="preserve">Exit yield at which the catch-up is complete</t>
  </si>
  <si>
    <t xml:space="preserve">Exit yield at which the promote first appears</t>
  </si>
  <si>
    <t xml:space="preserve">Between these two yields every pound of a better exit goes to the manager. Above the first, the investor keeps four pounds in five.</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</si>
  <si>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</si>
  <si>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</si>
  <si>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</si>
  <si>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</si>
  <si>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</si>
  <si>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</si>
  <si>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</si>
  <si>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</si>
  <si>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</si>
  <si>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t>
  </si>
  <si>
    <t xml:space="preserve">The spread between the first and the fourth, in points</t>
  </si>
  <si>
    <t xml:space="preserve">7</t>
  </si>
  <si>
    <t xml:space="preserve">All-in capital</t>
  </si>
  <si>
    <t xml:space="preserve">5</t>
  </si>
  <si>
    <t xml:space="preserve">Gross value of the sale</t>
  </si>
  <si>
    <t xml:space="preserve">6</t>
  </si>
  <si>
    <t xml:space="preserve">Equity called in total</t>
  </si>
  <si>
    <t xml:space="preserve">14</t>
  </si>
  <si>
    <t xml:space="preserve">Gross value at a 5.50 per cent exit</t>
  </si>
  <si>
    <t xml:space="preserve">Equity return at a 5.50 per cent exit</t>
  </si>
  <si>
    <t xml:space="preserve">Equity multiple at a 5.50 per cent exit</t>
  </si>
  <si>
    <t xml:space="preserve">Promote at a 5.50 per cent exit</t>
  </si>
  <si>
    <t xml:space="preserve">Gross value at a 6.00 per cent exit</t>
  </si>
  <si>
    <t xml:space="preserve">Equity return at a 6.00 per cent exit</t>
  </si>
  <si>
    <t xml:space="preserve">Equity multiple at a 6.00 per cent exit</t>
  </si>
  <si>
    <t xml:space="preserve">Investor return at a 6.25 per cent exit</t>
  </si>
  <si>
    <t xml:space="preserve">Promote at a 6.50 per cent exit</t>
  </si>
  <si>
    <t xml:space="preserve">Investor return at a 6.50 per cent exit</t>
  </si>
  <si>
    <t xml:space="preserve">Gross value at the 6.65 per cent central case</t>
  </si>
  <si>
    <t xml:space="preserve">Promote at the 6.65 per cent central case</t>
  </si>
  <si>
    <t xml:space="preserve">Property return at the 6.65 per cent central case</t>
  </si>
  <si>
    <t xml:space="preserve">Gross value at a 7.00 per cent exit</t>
  </si>
  <si>
    <t xml:space="preserve">Promote at a 7.00 per cent exit, none</t>
  </si>
  <si>
    <t xml:space="preserve">Equity return at a 7.00 per cent exit</t>
  </si>
  <si>
    <t xml:space="preserve">Investor return at a 7.50 per cent exit</t>
  </si>
  <si>
    <t xml:space="preserve">Equity multiple at an 8.00 per cent exit</t>
  </si>
  <si>
    <t xml:space="preserve">Gross value at an 8.50 per cent exit</t>
  </si>
  <si>
    <t xml:space="preserve">Equity return at an 8.50 per cent exit</t>
  </si>
  <si>
    <t xml:space="preserve">Equity return at the like-for-like entry yield</t>
  </si>
  <si>
    <t xml:space="preserve">Property return at the like-for-like entry yield</t>
  </si>
  <si>
    <t xml:space="preserve">Promote at the like-for-like entry yield, none</t>
  </si>
  <si>
    <t xml:space="preserve">Investor return at the like-for-like entry yield</t>
  </si>
  <si>
    <t xml:space="preserve">The exit yield at which the promote first appears</t>
  </si>
  <si>
    <t xml:space="preserve">Gross value, sale priced on year ten (corrected; the first edition printed 32,640,150)</t>
  </si>
  <si>
    <t xml:space="preserve">Net proceeds, sale priced on year ten (first edition: 32,232,148)</t>
  </si>
  <si>
    <t xml:space="preserve">What pricing on year ten costs, net (first edition: 4,198,723)</t>
  </si>
  <si>
    <t xml:space="preserve">What pricing on year ten costs, gross (first edition: 4,251,871)</t>
  </si>
  <si>
    <t xml:space="preserve">Equivalent exit yield on year eleven (first edition: 7.5163)</t>
  </si>
  <si>
    <t xml:space="preserve">Equity return, sale priced on year ten</t>
  </si>
  <si>
    <t xml:space="preserve">Promote, sale priced on year ten, none</t>
  </si>
  <si>
    <t xml:space="preserve">Average net operating income, years eight to eleven (first edition: 2,174,184)</t>
  </si>
  <si>
    <t xml:space="preserve">Less than the year-eleven value (first edition: 4,197,525)</t>
  </si>
  <si>
    <t xml:space="preserve">Equity return as modelled, from the exits table</t>
  </si>
  <si>
    <t xml:space="preserve">Promote as modelled, from the exits table</t>
  </si>
  <si>
    <t xml:space="preserve">Promote at a 6.25 per cent exit, from the exits table</t>
  </si>
  <si>
    <t xml:space="preserve">Investor return at a 6.25 per cent exit, from the exits table</t>
  </si>
  <si>
    <t xml:space="preserve">18</t>
  </si>
  <si>
    <t xml:space="preserve">Equity return at 7.65 per cent, a model run (the book interpolates 6.7534)</t>
  </si>
  <si>
    <t xml:space="preserve">16</t>
  </si>
  <si>
    <t xml:space="preserve">Gross value at the like-for-like entry yield (first edition: 34,771,724)</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</si>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</sst>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
    <numFmt numFmtId="166" formatCode="#,##0;\-#,##0"/>
    <numFmt numFmtId="167" formatCode="0.00%;\-0.00%"/>
    <numFmt numFmtId="168" formatCode="0"/>
    <numFmt numFmtId="169" formatCode="0.0%;\-0.0%"/>
    <numFmt numFmtId="170" formatCode="0.0000"/>
    <numFmt numFmtId="171" formatCode="#,##0.00;\-#,##0.00"/>
    <numFmt numFmtId="172" formatCode="0.0000%;\-0.0000%"/>
    <numFmt numFmtId="173" formatCode="0.00\x"/>
    <numFmt numFmtId="174" formatCode="0.00000000"/>
    <numFmt numFmtId="175"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10"/>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9" fillId="0" borderId="0" xfId="0" applyFont="true" applyBorder="false" applyAlignment="true" applyProtection="false">
      <alignment horizontal="general" vertical="bottom" textRotation="0" wrapText="false" indent="1"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72" fontId="8" fillId="2"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right"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5" fontId="9"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3"/>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14200</v>
      </c>
    </row>
    <row r="8" customFormat="false" ht="15" hidden="false" customHeight="false" outlineLevel="0" collapsed="false">
      <c r="A8" s="7" t="s">
        <v>16</v>
      </c>
      <c r="B8" s="9" t="n">
        <v>26400000</v>
      </c>
    </row>
    <row r="9" customFormat="false" ht="15" hidden="false" customHeight="false" outlineLevel="0" collapsed="false">
      <c r="A9" s="7" t="s">
        <v>17</v>
      </c>
      <c r="B9" s="10" t="n">
        <v>0.068</v>
      </c>
    </row>
    <row r="10" customFormat="false" ht="15" hidden="false" customHeight="false" outlineLevel="0" collapsed="false">
      <c r="A10" s="11" t="s">
        <v>18</v>
      </c>
      <c r="B10" s="12" t="n">
        <f aca="false">Price*(1+AcqPct)</f>
        <v>28195200</v>
      </c>
      <c r="D10" s="7" t="s">
        <v>19</v>
      </c>
    </row>
    <row r="11" customFormat="false" ht="15" hidden="false" customHeight="false" outlineLevel="0" collapsed="false">
      <c r="A11" s="11" t="s">
        <v>20</v>
      </c>
      <c r="B11" s="12" t="n">
        <f aca="false">SUM(CapexAmt)</f>
        <v>3400000</v>
      </c>
    </row>
    <row r="12" customFormat="false" ht="15" hidden="false" customHeight="false" outlineLevel="0" collapsed="false">
      <c r="A12" s="11" t="s">
        <v>21</v>
      </c>
      <c r="B12" s="12" t="n">
        <f aca="false">TotCost+CapexTot</f>
        <v>31595200</v>
      </c>
      <c r="D12" s="7" t="s">
        <v>22</v>
      </c>
    </row>
    <row r="14" customFormat="false" ht="15" hidden="false" customHeight="false" outlineLevel="0" collapsed="false">
      <c r="A14" s="4" t="s">
        <v>23</v>
      </c>
      <c r="B14" s="6"/>
      <c r="C14" s="6"/>
      <c r="D14" s="6"/>
    </row>
    <row r="16" customFormat="false" ht="15" hidden="false" customHeight="false" outlineLevel="0" collapsed="false">
      <c r="A16" s="7" t="s">
        <v>24</v>
      </c>
      <c r="B16" s="10" t="n">
        <v>0.0225</v>
      </c>
    </row>
    <row r="17" customFormat="false" ht="15" hidden="false" customHeight="false" outlineLevel="0" collapsed="false">
      <c r="A17" s="7" t="s">
        <v>25</v>
      </c>
      <c r="B17" s="13" t="n">
        <v>9</v>
      </c>
      <c r="D17" s="7" t="s">
        <v>26</v>
      </c>
    </row>
    <row r="18" customFormat="false" ht="15" hidden="false" customHeight="false" outlineLevel="0" collapsed="false">
      <c r="A18" s="7" t="s">
        <v>27</v>
      </c>
      <c r="B18" s="14" t="n">
        <v>0.15</v>
      </c>
      <c r="D18" s="7" t="s">
        <v>28</v>
      </c>
    </row>
    <row r="19" customFormat="false" ht="15" hidden="false" customHeight="false" outlineLevel="0" collapsed="false">
      <c r="A19" s="7" t="s">
        <v>29</v>
      </c>
      <c r="B19" s="10" t="n">
        <v>0.0165</v>
      </c>
    </row>
    <row r="20" customFormat="false" ht="15" hidden="false" customHeight="false" outlineLevel="0" collapsed="false">
      <c r="A20" s="7" t="s">
        <v>30</v>
      </c>
      <c r="B20" s="10" t="n">
        <v>0.0075</v>
      </c>
    </row>
    <row r="21" customFormat="false" ht="15" hidden="false" customHeight="false" outlineLevel="0" collapsed="false">
      <c r="A21" s="7" t="s">
        <v>31</v>
      </c>
      <c r="B21" s="10" t="n">
        <v>0.0665</v>
      </c>
    </row>
    <row r="22" customFormat="false" ht="15" hidden="false" customHeight="false" outlineLevel="0" collapsed="false">
      <c r="A22" s="7" t="s">
        <v>32</v>
      </c>
      <c r="B22" s="10" t="n">
        <v>0.0125</v>
      </c>
    </row>
    <row r="23" customFormat="false" ht="15" hidden="false" customHeight="false" outlineLevel="0" collapsed="false">
      <c r="A23" s="11" t="s">
        <v>33</v>
      </c>
      <c r="B23" s="15" t="n">
        <f aca="false">(12-VoidMth)/12</f>
        <v>0.25</v>
      </c>
      <c r="D23" s="7" t="s">
        <v>34</v>
      </c>
    </row>
    <row r="25" customFormat="false" ht="15" hidden="false" customHeight="false" outlineLevel="0" collapsed="false">
      <c r="A25" s="4" t="s">
        <v>35</v>
      </c>
      <c r="B25" s="6"/>
      <c r="C25" s="6"/>
      <c r="D25" s="6"/>
    </row>
    <row r="27" customFormat="false" ht="15" hidden="false" customHeight="false" outlineLevel="0" collapsed="false">
      <c r="A27" s="7" t="s">
        <v>36</v>
      </c>
      <c r="B27" s="14" t="n">
        <v>0.55</v>
      </c>
    </row>
    <row r="28" customFormat="false" ht="15" hidden="false" customHeight="false" outlineLevel="0" collapsed="false">
      <c r="A28" s="11" t="s">
        <v>37</v>
      </c>
      <c r="B28" s="12" t="n">
        <f aca="false">Price*Gearing</f>
        <v>14520000</v>
      </c>
    </row>
    <row r="29" customFormat="false" ht="15" hidden="false" customHeight="false" outlineLevel="0" collapsed="false">
      <c r="A29" s="7" t="s">
        <v>38</v>
      </c>
      <c r="B29" s="10" t="n">
        <v>0.0435</v>
      </c>
    </row>
    <row r="30" customFormat="false" ht="15" hidden="false" customHeight="false" outlineLevel="0" collapsed="false">
      <c r="A30" s="11" t="s">
        <v>39</v>
      </c>
      <c r="B30" s="12" t="n">
        <f aca="false">Debt*DebtRate</f>
        <v>631620</v>
      </c>
    </row>
    <row r="31" customFormat="false" ht="15" hidden="false" customHeight="false" outlineLevel="0" collapsed="false">
      <c r="A31" s="7" t="s">
        <v>40</v>
      </c>
      <c r="B31" s="10" t="n">
        <v>0.011</v>
      </c>
    </row>
    <row r="32" customFormat="false" ht="15" hidden="false" customHeight="false" outlineLevel="0" collapsed="false">
      <c r="A32" s="11" t="s">
        <v>41</v>
      </c>
      <c r="B32" s="12" t="n">
        <f aca="false">Debt*ArrPct</f>
        <v>159720</v>
      </c>
    </row>
    <row r="33" customFormat="false" ht="15" hidden="false" customHeight="false" outlineLevel="0" collapsed="false">
      <c r="A33" s="11" t="s">
        <v>42</v>
      </c>
      <c r="B33" s="12" t="n">
        <f aca="false">TotCost+ArrFee-Debt</f>
        <v>13834920</v>
      </c>
    </row>
    <row r="35" customFormat="false" ht="15" hidden="false" customHeight="false" outlineLevel="0" collapsed="false">
      <c r="A35" s="4" t="s">
        <v>43</v>
      </c>
      <c r="B35" s="6"/>
      <c r="C35" s="6"/>
      <c r="D35" s="6"/>
    </row>
    <row r="37" customFormat="false" ht="15" hidden="false" customHeight="false" outlineLevel="0" collapsed="false">
      <c r="A37" s="7" t="s">
        <v>44</v>
      </c>
      <c r="B37" s="10" t="n">
        <v>0.0075</v>
      </c>
    </row>
    <row r="38" customFormat="false" ht="15" hidden="false" customHeight="false" outlineLevel="0" collapsed="false">
      <c r="A38" s="11" t="s">
        <v>45</v>
      </c>
      <c r="B38" s="12" t="n">
        <f aca="false">TotCost*AMPct</f>
        <v>211464</v>
      </c>
    </row>
    <row r="39" customFormat="false" ht="15" hidden="false" customHeight="false" outlineLevel="0" collapsed="false">
      <c r="A39" s="7" t="s">
        <v>46</v>
      </c>
      <c r="B39" s="13" t="n">
        <v>10</v>
      </c>
    </row>
    <row r="40" customFormat="false" ht="15" hidden="false" customHeight="false" outlineLevel="0" collapsed="false">
      <c r="A40" s="11" t="s">
        <v>47</v>
      </c>
      <c r="B40" s="12" t="n">
        <f aca="false">AMFee*Hold</f>
        <v>2114640</v>
      </c>
    </row>
    <row r="41" customFormat="false" ht="15" hidden="false" customHeight="false" outlineLevel="0" collapsed="false">
      <c r="A41" s="7" t="s">
        <v>48</v>
      </c>
      <c r="B41" s="14" t="n">
        <v>0.08</v>
      </c>
    </row>
    <row r="42" customFormat="false" ht="15" hidden="false" customHeight="false" outlineLevel="0" collapsed="false">
      <c r="A42" s="7" t="s">
        <v>49</v>
      </c>
      <c r="B42" s="14" t="n">
        <v>0.2</v>
      </c>
    </row>
    <row r="43" customFormat="false" ht="15" hidden="false" customHeight="false" outlineLevel="0" collapsed="false">
      <c r="A43" s="11" t="s">
        <v>50</v>
      </c>
      <c r="B43" s="15" t="n">
        <f aca="false">Promote/(1-Promote)</f>
        <v>0.25</v>
      </c>
      <c r="D43" s="7" t="s">
        <v>51</v>
      </c>
    </row>
    <row r="44" customFormat="false" ht="15" hidden="false" customHeight="false" outlineLevel="0" collapsed="false">
      <c r="A44" s="7" t="s">
        <v>52</v>
      </c>
      <c r="B44" s="14" t="n">
        <v>0.35</v>
      </c>
      <c r="D44" s="7" t="s">
        <v>53</v>
      </c>
    </row>
    <row r="46" customFormat="false" ht="15" hidden="false" customHeight="false" outlineLevel="0" collapsed="false">
      <c r="A46" s="4" t="s">
        <v>54</v>
      </c>
      <c r="B46" s="6"/>
      <c r="C46" s="6"/>
      <c r="D46" s="6"/>
    </row>
    <row r="48" customFormat="false" ht="30" hidden="false" customHeight="true" outlineLevel="0" collapsed="false">
      <c r="A48" s="16" t="s">
        <v>54</v>
      </c>
      <c r="B48" s="17" t="s">
        <v>55</v>
      </c>
      <c r="C48" s="17"/>
      <c r="D48" s="17" t="s">
        <v>56</v>
      </c>
    </row>
    <row r="49" customFormat="false" ht="15" hidden="false" customHeight="false" outlineLevel="0" collapsed="false">
      <c r="A49" s="7" t="s">
        <v>57</v>
      </c>
      <c r="B49" s="13" t="n">
        <v>1</v>
      </c>
      <c r="C49" s="9" t="n">
        <v>1850000</v>
      </c>
      <c r="D49" s="7" t="s">
        <v>58</v>
      </c>
    </row>
    <row r="50" customFormat="false" ht="15" hidden="false" customHeight="false" outlineLevel="0" collapsed="false">
      <c r="A50" s="7" t="s">
        <v>59</v>
      </c>
      <c r="B50" s="13" t="n">
        <v>2</v>
      </c>
      <c r="C50" s="9" t="n">
        <v>940000</v>
      </c>
      <c r="D50" s="7" t="s">
        <v>60</v>
      </c>
    </row>
    <row r="51" customFormat="false" ht="15" hidden="false" customHeight="false" outlineLevel="0" collapsed="false">
      <c r="A51" s="7" t="s">
        <v>61</v>
      </c>
      <c r="B51" s="13" t="n">
        <v>3</v>
      </c>
      <c r="C51" s="9" t="n">
        <v>610000</v>
      </c>
      <c r="D51" s="7" t="s">
        <v>62</v>
      </c>
    </row>
    <row r="52" customFormat="false" ht="15" hidden="false" customHeight="false" outlineLevel="0" collapsed="false">
      <c r="A52" s="11" t="s">
        <v>63</v>
      </c>
      <c r="C52" s="12" t="n">
        <f aca="false">SUM(C49:C51)</f>
        <v>3400000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3" style="0" width="15"/>
    <col collapsed="false" customWidth="true" hidden="false" outlineLevel="0" max="5" min="5" style="0" width="13"/>
    <col collapsed="false" customWidth="true" hidden="false" outlineLevel="0" max="6" min="6" style="0" width="12"/>
    <col collapsed="false" customWidth="true" hidden="false" outlineLevel="0" max="7" min="7" style="0" width="16"/>
    <col collapsed="false" customWidth="true" hidden="false" outlineLevel="0" max="8" min="8" style="0" width="13"/>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row>
    <row r="5" customFormat="false" ht="15" hidden="false" customHeight="false" outlineLevel="0" collapsed="false">
      <c r="A5" s="18" t="s">
        <v>66</v>
      </c>
    </row>
    <row r="7" customFormat="false" ht="30" hidden="false" customHeight="true" outlineLevel="0" collapsed="false">
      <c r="A7" s="16" t="s">
        <v>67</v>
      </c>
      <c r="B7" s="17" t="s">
        <v>68</v>
      </c>
      <c r="C7" s="17" t="s">
        <v>69</v>
      </c>
      <c r="D7" s="17" t="s">
        <v>70</v>
      </c>
      <c r="E7" s="17" t="s">
        <v>71</v>
      </c>
      <c r="F7" s="17" t="s">
        <v>72</v>
      </c>
      <c r="G7" s="17" t="s">
        <v>73</v>
      </c>
      <c r="H7" s="17" t="s">
        <v>74</v>
      </c>
    </row>
    <row r="8" customFormat="false" ht="15" hidden="false" customHeight="false" outlineLevel="0" collapsed="false">
      <c r="A8" s="7" t="s">
        <v>75</v>
      </c>
      <c r="B8" s="8" t="n">
        <v>3150</v>
      </c>
      <c r="C8" s="9" t="n">
        <v>472500</v>
      </c>
      <c r="D8" s="9" t="n">
        <v>504000</v>
      </c>
      <c r="E8" s="13" t="n">
        <v>7</v>
      </c>
      <c r="F8" s="19" t="n">
        <f aca="false">IF($E8=0,1,$E8+1)</f>
        <v>8</v>
      </c>
      <c r="G8" s="20" t="n">
        <f aca="false">IF($E8=0,$D8*(1+Growth),MAX($C8,$D8*(1+Growth)^$E8))</f>
        <v>588943.663055956</v>
      </c>
      <c r="H8" s="21" t="n">
        <f aca="false">$G8*LetFee</f>
        <v>88341.5494583934</v>
      </c>
    </row>
    <row r="9" customFormat="false" ht="15" hidden="false" customHeight="false" outlineLevel="0" collapsed="false">
      <c r="A9" s="7" t="s">
        <v>76</v>
      </c>
      <c r="B9" s="8" t="n">
        <v>1980</v>
      </c>
      <c r="C9" s="9" t="n">
        <v>257400</v>
      </c>
      <c r="D9" s="9" t="n">
        <v>316800</v>
      </c>
      <c r="E9" s="13" t="n">
        <v>3</v>
      </c>
      <c r="F9" s="19" t="n">
        <f aca="false">IF($E9=0,1,$E9+1)</f>
        <v>4</v>
      </c>
      <c r="G9" s="20" t="n">
        <f aca="false">IF($E9=0,$D9*(1+Growth),MAX($C9,$D9*(1+Growth)^$E9))</f>
        <v>338668.74855</v>
      </c>
      <c r="H9" s="21" t="n">
        <f aca="false">$G9*LetFee</f>
        <v>50800.3122825</v>
      </c>
    </row>
    <row r="10" customFormat="false" ht="15" hidden="false" customHeight="false" outlineLevel="0" collapsed="false">
      <c r="A10" s="7" t="s">
        <v>77</v>
      </c>
      <c r="B10" s="8" t="n">
        <v>1640</v>
      </c>
      <c r="C10" s="9" t="n">
        <v>229600</v>
      </c>
      <c r="D10" s="9" t="n">
        <v>262400</v>
      </c>
      <c r="E10" s="13" t="n">
        <v>9</v>
      </c>
      <c r="F10" s="19" t="n">
        <f aca="false">IF($E10=0,1,$E10+1)</f>
        <v>10</v>
      </c>
      <c r="G10" s="20" t="n">
        <f aca="false">IF($E10=0,$D10*(1+Growth),MAX($C10,$D10*(1+Growth)^$E10))</f>
        <v>320577.974673508</v>
      </c>
      <c r="H10" s="21" t="n">
        <f aca="false">$G10*LetFee</f>
        <v>48086.6962010262</v>
      </c>
    </row>
    <row r="11" customFormat="false" ht="15" hidden="false" customHeight="false" outlineLevel="0" collapsed="false">
      <c r="A11" s="7" t="s">
        <v>78</v>
      </c>
      <c r="B11" s="8" t="n">
        <v>1310</v>
      </c>
      <c r="C11" s="9" t="n">
        <v>183400</v>
      </c>
      <c r="D11" s="9" t="n">
        <v>209600</v>
      </c>
      <c r="E11" s="13" t="n">
        <v>5</v>
      </c>
      <c r="F11" s="19" t="n">
        <f aca="false">IF($E11=0,1,$E11+1)</f>
        <v>6</v>
      </c>
      <c r="G11" s="20" t="n">
        <f aca="false">IF($E11=0,$D11*(1+Growth),MAX($C11,$D11*(1+Growth)^$E11))</f>
        <v>234265.244549597</v>
      </c>
      <c r="H11" s="21" t="n">
        <f aca="false">$G11*LetFee</f>
        <v>35139.7866824395</v>
      </c>
    </row>
    <row r="12" customFormat="false" ht="15" hidden="false" customHeight="false" outlineLevel="0" collapsed="false">
      <c r="A12" s="7" t="s">
        <v>79</v>
      </c>
      <c r="B12" s="8" t="n">
        <v>980</v>
      </c>
      <c r="C12" s="9" t="n">
        <v>117600</v>
      </c>
      <c r="D12" s="9" t="n">
        <v>156800</v>
      </c>
      <c r="E12" s="13" t="n">
        <v>2</v>
      </c>
      <c r="F12" s="19" t="n">
        <f aca="false">IF($E12=0,1,$E12+1)</f>
        <v>3</v>
      </c>
      <c r="G12" s="20" t="n">
        <f aca="false">IF($E12=0,$D12*(1+Growth),MAX($C12,$D12*(1+Growth)^$E12))</f>
        <v>163935.38</v>
      </c>
      <c r="H12" s="21" t="n">
        <f aca="false">$G12*LetFee</f>
        <v>24590.307</v>
      </c>
    </row>
    <row r="13" customFormat="false" ht="15" hidden="false" customHeight="false" outlineLevel="0" collapsed="false">
      <c r="A13" s="7" t="s">
        <v>80</v>
      </c>
      <c r="B13" s="8" t="n">
        <v>860</v>
      </c>
      <c r="C13" s="9" t="n">
        <v>129000</v>
      </c>
      <c r="D13" s="9" t="n">
        <v>137600</v>
      </c>
      <c r="E13" s="13" t="n">
        <v>11</v>
      </c>
      <c r="F13" s="19" t="n">
        <f aca="false">IF($E13=0,1,$E13+1)</f>
        <v>12</v>
      </c>
      <c r="G13" s="20" t="n">
        <f aca="false">IF($E13=0,$D13*(1+Growth),MAX($C13,$D13*(1+Growth)^$E13))</f>
        <v>175757.925289515</v>
      </c>
      <c r="H13" s="21" t="n">
        <f aca="false">$G13*LetFee</f>
        <v>26363.6887934273</v>
      </c>
    </row>
    <row r="14" customFormat="false" ht="15" hidden="false" customHeight="false" outlineLevel="0" collapsed="false">
      <c r="A14" s="7" t="s">
        <v>81</v>
      </c>
      <c r="B14" s="8" t="n">
        <v>720</v>
      </c>
      <c r="C14" s="9" t="n">
        <v>93600</v>
      </c>
      <c r="D14" s="9" t="n">
        <v>115200</v>
      </c>
      <c r="E14" s="13" t="n">
        <v>4</v>
      </c>
      <c r="F14" s="19" t="n">
        <f aca="false">IF($E14=0,1,$E14+1)</f>
        <v>5</v>
      </c>
      <c r="G14" s="20" t="n">
        <f aca="false">IF($E14=0,$D14*(1+Growth),MAX($C14,$D14*(1+Growth)^$E14))</f>
        <v>125923.1983245</v>
      </c>
      <c r="H14" s="21" t="n">
        <f aca="false">$G14*LetFee</f>
        <v>18888.479748675</v>
      </c>
    </row>
    <row r="15" customFormat="false" ht="15" hidden="false" customHeight="false" outlineLevel="0" collapsed="false">
      <c r="A15" s="7" t="s">
        <v>82</v>
      </c>
      <c r="B15" s="8" t="n">
        <v>640</v>
      </c>
      <c r="C15" s="9" t="n">
        <v>92800</v>
      </c>
      <c r="D15" s="9" t="n">
        <v>102400</v>
      </c>
      <c r="E15" s="13" t="n">
        <v>8</v>
      </c>
      <c r="F15" s="19" t="n">
        <f aca="false">IF($E15=0,1,$E15+1)</f>
        <v>9</v>
      </c>
      <c r="G15" s="20" t="n">
        <f aca="false">IF($E15=0,$D15*(1+Growth),MAX($C15,$D15*(1+Growth)^$E15))</f>
        <v>122350.708921847</v>
      </c>
      <c r="H15" s="21" t="n">
        <f aca="false">$G15*LetFee</f>
        <v>18352.606338277</v>
      </c>
    </row>
    <row r="16" customFormat="false" ht="15" hidden="false" customHeight="false" outlineLevel="0" collapsed="false">
      <c r="A16" s="7" t="s">
        <v>83</v>
      </c>
      <c r="B16" s="8" t="n">
        <v>1420</v>
      </c>
      <c r="C16" s="9" t="n">
        <v>0</v>
      </c>
      <c r="D16" s="9" t="n">
        <v>227200</v>
      </c>
      <c r="E16" s="13" t="n">
        <v>0</v>
      </c>
      <c r="F16" s="19" t="n">
        <f aca="false">IF($E16=0,1,$E16+1)</f>
        <v>1</v>
      </c>
      <c r="G16" s="20" t="n">
        <f aca="false">IF($E16=0,$D16*(1+Growth),MAX($C16,$D16*(1+Growth)^$E16))</f>
        <v>232312</v>
      </c>
      <c r="H16" s="21" t="n">
        <f aca="false">$G16*LetFee</f>
        <v>34846.8</v>
      </c>
    </row>
    <row r="17" customFormat="false" ht="15" hidden="false" customHeight="false" outlineLevel="0" collapsed="false">
      <c r="A17" s="7" t="s">
        <v>84</v>
      </c>
      <c r="B17" s="8" t="n">
        <v>1500</v>
      </c>
      <c r="C17" s="9" t="n">
        <v>0</v>
      </c>
      <c r="D17" s="9" t="n">
        <v>252000</v>
      </c>
      <c r="E17" s="13" t="n">
        <v>0</v>
      </c>
      <c r="F17" s="19" t="n">
        <f aca="false">IF($E17=0,1,$E17+1)</f>
        <v>1</v>
      </c>
      <c r="G17" s="20" t="n">
        <f aca="false">IF($E17=0,$D17*(1+Growth),MAX($C17,$D17*(1+Growth)^$E17))</f>
        <v>257670</v>
      </c>
      <c r="H17" s="21" t="n">
        <f aca="false">$G17*LetFee</f>
        <v>38650.5</v>
      </c>
    </row>
    <row r="18" customFormat="false" ht="15" hidden="false" customHeight="false" outlineLevel="0" collapsed="false">
      <c r="A18" s="11" t="s">
        <v>85</v>
      </c>
      <c r="B18" s="22" t="n">
        <f aca="false">SUM(B8:B17)</f>
        <v>14200</v>
      </c>
      <c r="C18" s="12" t="n">
        <f aca="false">SUM(C8:C17)</f>
        <v>1575900</v>
      </c>
      <c r="D18" s="12" t="n">
        <f aca="false">SUM(D8:D17)</f>
        <v>2284000</v>
      </c>
    </row>
    <row r="20" customFormat="false" ht="15" hidden="false" customHeight="false" outlineLevel="0" collapsed="false">
      <c r="A20" s="4" t="s">
        <v>86</v>
      </c>
      <c r="B20" s="6"/>
      <c r="C20" s="6"/>
      <c r="D20" s="6"/>
      <c r="E20" s="6"/>
      <c r="F20" s="6"/>
      <c r="G20" s="6"/>
      <c r="H20" s="6"/>
    </row>
    <row r="22" customFormat="false" ht="15" hidden="false" customHeight="false" outlineLevel="0" collapsed="false">
      <c r="A22" s="7" t="s">
        <v>87</v>
      </c>
      <c r="C22" s="23" t="n">
        <f aca="false">SUMIF($C$8:$C$17,0,$B$8:$B$17)/AreaTot</f>
        <v>0.205633802816901</v>
      </c>
      <c r="D22" s="7" t="s">
        <v>88</v>
      </c>
    </row>
    <row r="23" customFormat="false" ht="15" hidden="false" customHeight="false" outlineLevel="0" collapsed="false">
      <c r="A23" s="7" t="s">
        <v>89</v>
      </c>
      <c r="C23" s="23" t="n">
        <f aca="false">SUMIF($C$8:$C$17,0,$D$8:$D$17)/ErvTot</f>
        <v>0.209807355516637</v>
      </c>
    </row>
    <row r="24" customFormat="false" ht="15" hidden="false" customHeight="false" outlineLevel="0" collapsed="false">
      <c r="A24" s="7" t="s">
        <v>90</v>
      </c>
      <c r="C24" s="23" t="n">
        <f aca="false">ErvTot/PassRent-1</f>
        <v>0.449330541278</v>
      </c>
    </row>
    <row r="25" customFormat="false" ht="15" hidden="false" customHeight="false" outlineLevel="0" collapsed="false">
      <c r="A25" s="11" t="s">
        <v>91</v>
      </c>
      <c r="C25" s="12" t="n">
        <f aca="false">ErvTot*(1-NonRec-MgmtFee)</f>
        <v>2229184</v>
      </c>
      <c r="D25" s="7"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12" min="2" style="0" width="13"/>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18" t="s">
        <v>95</v>
      </c>
    </row>
    <row r="7" customFormat="false" ht="15" hidden="false" customHeight="false" outlineLevel="0" collapsed="false">
      <c r="A7" s="4" t="s">
        <v>96</v>
      </c>
      <c r="B7" s="6"/>
      <c r="C7" s="6"/>
      <c r="D7" s="6"/>
      <c r="E7" s="6"/>
      <c r="F7" s="6"/>
      <c r="G7" s="6"/>
      <c r="H7" s="6"/>
      <c r="I7" s="6"/>
      <c r="J7" s="6"/>
      <c r="K7" s="6"/>
      <c r="L7" s="6"/>
    </row>
    <row r="9" customFormat="false" ht="15" hidden="false" customHeight="false" outlineLevel="0" collapsed="false">
      <c r="A9" s="24" t="s">
        <v>55</v>
      </c>
      <c r="B9" s="25" t="n">
        <v>1</v>
      </c>
      <c r="C9" s="25" t="n">
        <f aca="false">B9+1</f>
        <v>2</v>
      </c>
      <c r="D9" s="25" t="n">
        <f aca="false">C9+1</f>
        <v>3</v>
      </c>
      <c r="E9" s="25" t="n">
        <f aca="false">D9+1</f>
        <v>4</v>
      </c>
      <c r="F9" s="25" t="n">
        <f aca="false">E9+1</f>
        <v>5</v>
      </c>
      <c r="G9" s="25" t="n">
        <f aca="false">F9+1</f>
        <v>6</v>
      </c>
      <c r="H9" s="25" t="n">
        <f aca="false">G9+1</f>
        <v>7</v>
      </c>
      <c r="I9" s="25" t="n">
        <f aca="false">H9+1</f>
        <v>8</v>
      </c>
      <c r="J9" s="25" t="n">
        <f aca="false">I9+1</f>
        <v>9</v>
      </c>
      <c r="K9" s="25" t="n">
        <f aca="false">J9+1</f>
        <v>10</v>
      </c>
      <c r="L9" s="25" t="n">
        <f aca="false">K9+1</f>
        <v>11</v>
      </c>
    </row>
    <row r="10" customFormat="false" ht="15" hidden="false" customHeight="false" outlineLevel="0" collapsed="false">
      <c r="A10" s="7" t="str">
        <f aca="false">'Rent roll'!A8</f>
        <v>Ardgour Logistics</v>
      </c>
      <c r="B10" s="26" t="n">
        <f aca="false">IF(B$9&lt;='Rent roll'!$E8,'Rent roll'!$C8,IF(B$9='Rent roll'!$F8,'Rent roll'!$G8*LetFrac,IF(B$9&gt;'Rent roll'!$F8,'Rent roll'!$G8,0)))</f>
        <v>472500</v>
      </c>
      <c r="C10" s="26" t="n">
        <f aca="false">IF(C$9&lt;='Rent roll'!$E8,'Rent roll'!$C8,IF(C$9='Rent roll'!$F8,'Rent roll'!$G8*LetFrac,IF(C$9&gt;'Rent roll'!$F8,'Rent roll'!$G8,0)))</f>
        <v>472500</v>
      </c>
      <c r="D10" s="26" t="n">
        <f aca="false">IF(D$9&lt;='Rent roll'!$E8,'Rent roll'!$C8,IF(D$9='Rent roll'!$F8,'Rent roll'!$G8*LetFrac,IF(D$9&gt;'Rent roll'!$F8,'Rent roll'!$G8,0)))</f>
        <v>472500</v>
      </c>
      <c r="E10" s="26" t="n">
        <f aca="false">IF(E$9&lt;='Rent roll'!$E8,'Rent roll'!$C8,IF(E$9='Rent roll'!$F8,'Rent roll'!$G8*LetFrac,IF(E$9&gt;'Rent roll'!$F8,'Rent roll'!$G8,0)))</f>
        <v>472500</v>
      </c>
      <c r="F10" s="26" t="n">
        <f aca="false">IF(F$9&lt;='Rent roll'!$E8,'Rent roll'!$C8,IF(F$9='Rent roll'!$F8,'Rent roll'!$G8*LetFrac,IF(F$9&gt;'Rent roll'!$F8,'Rent roll'!$G8,0)))</f>
        <v>472500</v>
      </c>
      <c r="G10" s="26" t="n">
        <f aca="false">IF(G$9&lt;='Rent roll'!$E8,'Rent roll'!$C8,IF(G$9='Rent roll'!$F8,'Rent roll'!$G8*LetFrac,IF(G$9&gt;'Rent roll'!$F8,'Rent roll'!$G8,0)))</f>
        <v>472500</v>
      </c>
      <c r="H10" s="26" t="n">
        <f aca="false">IF(H$9&lt;='Rent roll'!$E8,'Rent roll'!$C8,IF(H$9='Rent roll'!$F8,'Rent roll'!$G8*LetFrac,IF(H$9&gt;'Rent roll'!$F8,'Rent roll'!$G8,0)))</f>
        <v>472500</v>
      </c>
      <c r="I10" s="26" t="n">
        <f aca="false">IF(I$9&lt;='Rent roll'!$E8,'Rent roll'!$C8,IF(I$9='Rent roll'!$F8,'Rent roll'!$G8*LetFrac,IF(I$9&gt;'Rent roll'!$F8,'Rent roll'!$G8,0)))</f>
        <v>147235.915763989</v>
      </c>
      <c r="J10" s="26" t="n">
        <f aca="false">IF(J$9&lt;='Rent roll'!$E8,'Rent roll'!$C8,IF(J$9='Rent roll'!$F8,'Rent roll'!$G8*LetFrac,IF(J$9&gt;'Rent roll'!$F8,'Rent roll'!$G8,0)))</f>
        <v>588943.663055956</v>
      </c>
      <c r="K10" s="26" t="n">
        <f aca="false">IF(K$9&lt;='Rent roll'!$E8,'Rent roll'!$C8,IF(K$9='Rent roll'!$F8,'Rent roll'!$G8*LetFrac,IF(K$9&gt;'Rent roll'!$F8,'Rent roll'!$G8,0)))</f>
        <v>588943.663055956</v>
      </c>
      <c r="L10" s="26" t="n">
        <f aca="false">IF(L$9&lt;='Rent roll'!$E8,'Rent roll'!$C8,IF(L$9='Rent roll'!$F8,'Rent roll'!$G8*LetFrac,IF(L$9&gt;'Rent roll'!$F8,'Rent roll'!$G8,0)))</f>
        <v>588943.663055956</v>
      </c>
    </row>
    <row r="11" customFormat="false" ht="15" hidden="false" customHeight="false" outlineLevel="0" collapsed="false">
      <c r="A11" s="7" t="str">
        <f aca="false">'Rent roll'!A9</f>
        <v>Kilmory Print</v>
      </c>
      <c r="B11" s="26" t="n">
        <f aca="false">IF(B$9&lt;='Rent roll'!$E9,'Rent roll'!$C9,IF(B$9='Rent roll'!$F9,'Rent roll'!$G9*LetFrac,IF(B$9&gt;'Rent roll'!$F9,'Rent roll'!$G9,0)))</f>
        <v>257400</v>
      </c>
      <c r="C11" s="26" t="n">
        <f aca="false">IF(C$9&lt;='Rent roll'!$E9,'Rent roll'!$C9,IF(C$9='Rent roll'!$F9,'Rent roll'!$G9*LetFrac,IF(C$9&gt;'Rent roll'!$F9,'Rent roll'!$G9,0)))</f>
        <v>257400</v>
      </c>
      <c r="D11" s="26" t="n">
        <f aca="false">IF(D$9&lt;='Rent roll'!$E9,'Rent roll'!$C9,IF(D$9='Rent roll'!$F9,'Rent roll'!$G9*LetFrac,IF(D$9&gt;'Rent roll'!$F9,'Rent roll'!$G9,0)))</f>
        <v>257400</v>
      </c>
      <c r="E11" s="26" t="n">
        <f aca="false">IF(E$9&lt;='Rent roll'!$E9,'Rent roll'!$C9,IF(E$9='Rent roll'!$F9,'Rent roll'!$G9*LetFrac,IF(E$9&gt;'Rent roll'!$F9,'Rent roll'!$G9,0)))</f>
        <v>84667.1871375</v>
      </c>
      <c r="F11" s="26" t="n">
        <f aca="false">IF(F$9&lt;='Rent roll'!$E9,'Rent roll'!$C9,IF(F$9='Rent roll'!$F9,'Rent roll'!$G9*LetFrac,IF(F$9&gt;'Rent roll'!$F9,'Rent roll'!$G9,0)))</f>
        <v>338668.74855</v>
      </c>
      <c r="G11" s="26" t="n">
        <f aca="false">IF(G$9&lt;='Rent roll'!$E9,'Rent roll'!$C9,IF(G$9='Rent roll'!$F9,'Rent roll'!$G9*LetFrac,IF(G$9&gt;'Rent roll'!$F9,'Rent roll'!$G9,0)))</f>
        <v>338668.74855</v>
      </c>
      <c r="H11" s="26" t="n">
        <f aca="false">IF(H$9&lt;='Rent roll'!$E9,'Rent roll'!$C9,IF(H$9='Rent roll'!$F9,'Rent roll'!$G9*LetFrac,IF(H$9&gt;'Rent roll'!$F9,'Rent roll'!$G9,0)))</f>
        <v>338668.74855</v>
      </c>
      <c r="I11" s="26" t="n">
        <f aca="false">IF(I$9&lt;='Rent roll'!$E9,'Rent roll'!$C9,IF(I$9='Rent roll'!$F9,'Rent roll'!$G9*LetFrac,IF(I$9&gt;'Rent roll'!$F9,'Rent roll'!$G9,0)))</f>
        <v>338668.74855</v>
      </c>
      <c r="J11" s="26" t="n">
        <f aca="false">IF(J$9&lt;='Rent roll'!$E9,'Rent roll'!$C9,IF(J$9='Rent roll'!$F9,'Rent roll'!$G9*LetFrac,IF(J$9&gt;'Rent roll'!$F9,'Rent roll'!$G9,0)))</f>
        <v>338668.74855</v>
      </c>
      <c r="K11" s="26" t="n">
        <f aca="false">IF(K$9&lt;='Rent roll'!$E9,'Rent roll'!$C9,IF(K$9='Rent roll'!$F9,'Rent roll'!$G9*LetFrac,IF(K$9&gt;'Rent roll'!$F9,'Rent roll'!$G9,0)))</f>
        <v>338668.74855</v>
      </c>
      <c r="L11" s="26" t="n">
        <f aca="false">IF(L$9&lt;='Rent roll'!$E9,'Rent roll'!$C9,IF(L$9='Rent roll'!$F9,'Rent roll'!$G9*LetFrac,IF(L$9&gt;'Rent roll'!$F9,'Rent roll'!$G9,0)))</f>
        <v>338668.74855</v>
      </c>
    </row>
    <row r="12" customFormat="false" ht="15" hidden="false" customHeight="false" outlineLevel="0" collapsed="false">
      <c r="A12" s="7" t="str">
        <f aca="false">'Rent roll'!A10</f>
        <v>Tannoch Foods</v>
      </c>
      <c r="B12" s="26" t="n">
        <f aca="false">IF(B$9&lt;='Rent roll'!$E10,'Rent roll'!$C10,IF(B$9='Rent roll'!$F10,'Rent roll'!$G10*LetFrac,IF(B$9&gt;'Rent roll'!$F10,'Rent roll'!$G10,0)))</f>
        <v>229600</v>
      </c>
      <c r="C12" s="26" t="n">
        <f aca="false">IF(C$9&lt;='Rent roll'!$E10,'Rent roll'!$C10,IF(C$9='Rent roll'!$F10,'Rent roll'!$G10*LetFrac,IF(C$9&gt;'Rent roll'!$F10,'Rent roll'!$G10,0)))</f>
        <v>229600</v>
      </c>
      <c r="D12" s="26" t="n">
        <f aca="false">IF(D$9&lt;='Rent roll'!$E10,'Rent roll'!$C10,IF(D$9='Rent roll'!$F10,'Rent roll'!$G10*LetFrac,IF(D$9&gt;'Rent roll'!$F10,'Rent roll'!$G10,0)))</f>
        <v>229600</v>
      </c>
      <c r="E12" s="26" t="n">
        <f aca="false">IF(E$9&lt;='Rent roll'!$E10,'Rent roll'!$C10,IF(E$9='Rent roll'!$F10,'Rent roll'!$G10*LetFrac,IF(E$9&gt;'Rent roll'!$F10,'Rent roll'!$G10,0)))</f>
        <v>229600</v>
      </c>
      <c r="F12" s="26" t="n">
        <f aca="false">IF(F$9&lt;='Rent roll'!$E10,'Rent roll'!$C10,IF(F$9='Rent roll'!$F10,'Rent roll'!$G10*LetFrac,IF(F$9&gt;'Rent roll'!$F10,'Rent roll'!$G10,0)))</f>
        <v>229600</v>
      </c>
      <c r="G12" s="26" t="n">
        <f aca="false">IF(G$9&lt;='Rent roll'!$E10,'Rent roll'!$C10,IF(G$9='Rent roll'!$F10,'Rent roll'!$G10*LetFrac,IF(G$9&gt;'Rent roll'!$F10,'Rent roll'!$G10,0)))</f>
        <v>229600</v>
      </c>
      <c r="H12" s="26" t="n">
        <f aca="false">IF(H$9&lt;='Rent roll'!$E10,'Rent roll'!$C10,IF(H$9='Rent roll'!$F10,'Rent roll'!$G10*LetFrac,IF(H$9&gt;'Rent roll'!$F10,'Rent roll'!$G10,0)))</f>
        <v>229600</v>
      </c>
      <c r="I12" s="26" t="n">
        <f aca="false">IF(I$9&lt;='Rent roll'!$E10,'Rent roll'!$C10,IF(I$9='Rent roll'!$F10,'Rent roll'!$G10*LetFrac,IF(I$9&gt;'Rent roll'!$F10,'Rent roll'!$G10,0)))</f>
        <v>229600</v>
      </c>
      <c r="J12" s="26" t="n">
        <f aca="false">IF(J$9&lt;='Rent roll'!$E10,'Rent roll'!$C10,IF(J$9='Rent roll'!$F10,'Rent roll'!$G10*LetFrac,IF(J$9&gt;'Rent roll'!$F10,'Rent roll'!$G10,0)))</f>
        <v>229600</v>
      </c>
      <c r="K12" s="26" t="n">
        <f aca="false">IF(K$9&lt;='Rent roll'!$E10,'Rent roll'!$C10,IF(K$9='Rent roll'!$F10,'Rent roll'!$G10*LetFrac,IF(K$9&gt;'Rent roll'!$F10,'Rent roll'!$G10,0)))</f>
        <v>80144.493668377</v>
      </c>
      <c r="L12" s="26" t="n">
        <f aca="false">IF(L$9&lt;='Rent roll'!$E10,'Rent roll'!$C10,IF(L$9='Rent roll'!$F10,'Rent roll'!$G10*LetFrac,IF(L$9&gt;'Rent roll'!$F10,'Rent roll'!$G10,0)))</f>
        <v>320577.974673508</v>
      </c>
    </row>
    <row r="13" customFormat="false" ht="15" hidden="false" customHeight="false" outlineLevel="0" collapsed="false">
      <c r="A13" s="7" t="str">
        <f aca="false">'Rent roll'!A11</f>
        <v>Struan Instruments</v>
      </c>
      <c r="B13" s="26" t="n">
        <f aca="false">IF(B$9&lt;='Rent roll'!$E11,'Rent roll'!$C11,IF(B$9='Rent roll'!$F11,'Rent roll'!$G11*LetFrac,IF(B$9&gt;'Rent roll'!$F11,'Rent roll'!$G11,0)))</f>
        <v>183400</v>
      </c>
      <c r="C13" s="26" t="n">
        <f aca="false">IF(C$9&lt;='Rent roll'!$E11,'Rent roll'!$C11,IF(C$9='Rent roll'!$F11,'Rent roll'!$G11*LetFrac,IF(C$9&gt;'Rent roll'!$F11,'Rent roll'!$G11,0)))</f>
        <v>183400</v>
      </c>
      <c r="D13" s="26" t="n">
        <f aca="false">IF(D$9&lt;='Rent roll'!$E11,'Rent roll'!$C11,IF(D$9='Rent roll'!$F11,'Rent roll'!$G11*LetFrac,IF(D$9&gt;'Rent roll'!$F11,'Rent roll'!$G11,0)))</f>
        <v>183400</v>
      </c>
      <c r="E13" s="26" t="n">
        <f aca="false">IF(E$9&lt;='Rent roll'!$E11,'Rent roll'!$C11,IF(E$9='Rent roll'!$F11,'Rent roll'!$G11*LetFrac,IF(E$9&gt;'Rent roll'!$F11,'Rent roll'!$G11,0)))</f>
        <v>183400</v>
      </c>
      <c r="F13" s="26" t="n">
        <f aca="false">IF(F$9&lt;='Rent roll'!$E11,'Rent roll'!$C11,IF(F$9='Rent roll'!$F11,'Rent roll'!$G11*LetFrac,IF(F$9&gt;'Rent roll'!$F11,'Rent roll'!$G11,0)))</f>
        <v>183400</v>
      </c>
      <c r="G13" s="26" t="n">
        <f aca="false">IF(G$9&lt;='Rent roll'!$E11,'Rent roll'!$C11,IF(G$9='Rent roll'!$F11,'Rent roll'!$G11*LetFrac,IF(G$9&gt;'Rent roll'!$F11,'Rent roll'!$G11,0)))</f>
        <v>58566.3111373992</v>
      </c>
      <c r="H13" s="26" t="n">
        <f aca="false">IF(H$9&lt;='Rent roll'!$E11,'Rent roll'!$C11,IF(H$9='Rent roll'!$F11,'Rent roll'!$G11*LetFrac,IF(H$9&gt;'Rent roll'!$F11,'Rent roll'!$G11,0)))</f>
        <v>234265.244549597</v>
      </c>
      <c r="I13" s="26" t="n">
        <f aca="false">IF(I$9&lt;='Rent roll'!$E11,'Rent roll'!$C11,IF(I$9='Rent roll'!$F11,'Rent roll'!$G11*LetFrac,IF(I$9&gt;'Rent roll'!$F11,'Rent roll'!$G11,0)))</f>
        <v>234265.244549597</v>
      </c>
      <c r="J13" s="26" t="n">
        <f aca="false">IF(J$9&lt;='Rent roll'!$E11,'Rent roll'!$C11,IF(J$9='Rent roll'!$F11,'Rent roll'!$G11*LetFrac,IF(J$9&gt;'Rent roll'!$F11,'Rent roll'!$G11,0)))</f>
        <v>234265.244549597</v>
      </c>
      <c r="K13" s="26" t="n">
        <f aca="false">IF(K$9&lt;='Rent roll'!$E11,'Rent roll'!$C11,IF(K$9='Rent roll'!$F11,'Rent roll'!$G11*LetFrac,IF(K$9&gt;'Rent roll'!$F11,'Rent roll'!$G11,0)))</f>
        <v>234265.244549597</v>
      </c>
      <c r="L13" s="26" t="n">
        <f aca="false">IF(L$9&lt;='Rent roll'!$E11,'Rent roll'!$C11,IF(L$9='Rent roll'!$F11,'Rent roll'!$G11*LetFrac,IF(L$9&gt;'Rent roll'!$F11,'Rent roll'!$G11,0)))</f>
        <v>234265.244549597</v>
      </c>
    </row>
    <row r="14" customFormat="false" ht="15" hidden="false" customHeight="false" outlineLevel="0" collapsed="false">
      <c r="A14" s="7" t="str">
        <f aca="false">'Rent roll'!A12</f>
        <v>Balvaig Textiles</v>
      </c>
      <c r="B14" s="26" t="n">
        <f aca="false">IF(B$9&lt;='Rent roll'!$E12,'Rent roll'!$C12,IF(B$9='Rent roll'!$F12,'Rent roll'!$G12*LetFrac,IF(B$9&gt;'Rent roll'!$F12,'Rent roll'!$G12,0)))</f>
        <v>117600</v>
      </c>
      <c r="C14" s="26" t="n">
        <f aca="false">IF(C$9&lt;='Rent roll'!$E12,'Rent roll'!$C12,IF(C$9='Rent roll'!$F12,'Rent roll'!$G12*LetFrac,IF(C$9&gt;'Rent roll'!$F12,'Rent roll'!$G12,0)))</f>
        <v>117600</v>
      </c>
      <c r="D14" s="26" t="n">
        <f aca="false">IF(D$9&lt;='Rent roll'!$E12,'Rent roll'!$C12,IF(D$9='Rent roll'!$F12,'Rent roll'!$G12*LetFrac,IF(D$9&gt;'Rent roll'!$F12,'Rent roll'!$G12,0)))</f>
        <v>40983.845</v>
      </c>
      <c r="E14" s="26" t="n">
        <f aca="false">IF(E$9&lt;='Rent roll'!$E12,'Rent roll'!$C12,IF(E$9='Rent roll'!$F12,'Rent roll'!$G12*LetFrac,IF(E$9&gt;'Rent roll'!$F12,'Rent roll'!$G12,0)))</f>
        <v>163935.38</v>
      </c>
      <c r="F14" s="26" t="n">
        <f aca="false">IF(F$9&lt;='Rent roll'!$E12,'Rent roll'!$C12,IF(F$9='Rent roll'!$F12,'Rent roll'!$G12*LetFrac,IF(F$9&gt;'Rent roll'!$F12,'Rent roll'!$G12,0)))</f>
        <v>163935.38</v>
      </c>
      <c r="G14" s="26" t="n">
        <f aca="false">IF(G$9&lt;='Rent roll'!$E12,'Rent roll'!$C12,IF(G$9='Rent roll'!$F12,'Rent roll'!$G12*LetFrac,IF(G$9&gt;'Rent roll'!$F12,'Rent roll'!$G12,0)))</f>
        <v>163935.38</v>
      </c>
      <c r="H14" s="26" t="n">
        <f aca="false">IF(H$9&lt;='Rent roll'!$E12,'Rent roll'!$C12,IF(H$9='Rent roll'!$F12,'Rent roll'!$G12*LetFrac,IF(H$9&gt;'Rent roll'!$F12,'Rent roll'!$G12,0)))</f>
        <v>163935.38</v>
      </c>
      <c r="I14" s="26" t="n">
        <f aca="false">IF(I$9&lt;='Rent roll'!$E12,'Rent roll'!$C12,IF(I$9='Rent roll'!$F12,'Rent roll'!$G12*LetFrac,IF(I$9&gt;'Rent roll'!$F12,'Rent roll'!$G12,0)))</f>
        <v>163935.38</v>
      </c>
      <c r="J14" s="26" t="n">
        <f aca="false">IF(J$9&lt;='Rent roll'!$E12,'Rent roll'!$C12,IF(J$9='Rent roll'!$F12,'Rent roll'!$G12*LetFrac,IF(J$9&gt;'Rent roll'!$F12,'Rent roll'!$G12,0)))</f>
        <v>163935.38</v>
      </c>
      <c r="K14" s="26" t="n">
        <f aca="false">IF(K$9&lt;='Rent roll'!$E12,'Rent roll'!$C12,IF(K$9='Rent roll'!$F12,'Rent roll'!$G12*LetFrac,IF(K$9&gt;'Rent roll'!$F12,'Rent roll'!$G12,0)))</f>
        <v>163935.38</v>
      </c>
      <c r="L14" s="26" t="n">
        <f aca="false">IF(L$9&lt;='Rent roll'!$E12,'Rent roll'!$C12,IF(L$9='Rent roll'!$F12,'Rent roll'!$G12*LetFrac,IF(L$9&gt;'Rent roll'!$F12,'Rent roll'!$G12,0)))</f>
        <v>163935.38</v>
      </c>
    </row>
    <row r="15" customFormat="false" ht="15" hidden="false" customHeight="false" outlineLevel="0" collapsed="false">
      <c r="A15" s="7" t="str">
        <f aca="false">'Rent roll'!A13</f>
        <v>Corrour Systems</v>
      </c>
      <c r="B15" s="26" t="n">
        <f aca="false">IF(B$9&lt;='Rent roll'!$E13,'Rent roll'!$C13,IF(B$9='Rent roll'!$F13,'Rent roll'!$G13*LetFrac,IF(B$9&gt;'Rent roll'!$F13,'Rent roll'!$G13,0)))</f>
        <v>129000</v>
      </c>
      <c r="C15" s="26" t="n">
        <f aca="false">IF(C$9&lt;='Rent roll'!$E13,'Rent roll'!$C13,IF(C$9='Rent roll'!$F13,'Rent roll'!$G13*LetFrac,IF(C$9&gt;'Rent roll'!$F13,'Rent roll'!$G13,0)))</f>
        <v>129000</v>
      </c>
      <c r="D15" s="26" t="n">
        <f aca="false">IF(D$9&lt;='Rent roll'!$E13,'Rent roll'!$C13,IF(D$9='Rent roll'!$F13,'Rent roll'!$G13*LetFrac,IF(D$9&gt;'Rent roll'!$F13,'Rent roll'!$G13,0)))</f>
        <v>129000</v>
      </c>
      <c r="E15" s="26" t="n">
        <f aca="false">IF(E$9&lt;='Rent roll'!$E13,'Rent roll'!$C13,IF(E$9='Rent roll'!$F13,'Rent roll'!$G13*LetFrac,IF(E$9&gt;'Rent roll'!$F13,'Rent roll'!$G13,0)))</f>
        <v>129000</v>
      </c>
      <c r="F15" s="26" t="n">
        <f aca="false">IF(F$9&lt;='Rent roll'!$E13,'Rent roll'!$C13,IF(F$9='Rent roll'!$F13,'Rent roll'!$G13*LetFrac,IF(F$9&gt;'Rent roll'!$F13,'Rent roll'!$G13,0)))</f>
        <v>129000</v>
      </c>
      <c r="G15" s="26" t="n">
        <f aca="false">IF(G$9&lt;='Rent roll'!$E13,'Rent roll'!$C13,IF(G$9='Rent roll'!$F13,'Rent roll'!$G13*LetFrac,IF(G$9&gt;'Rent roll'!$F13,'Rent roll'!$G13,0)))</f>
        <v>129000</v>
      </c>
      <c r="H15" s="26" t="n">
        <f aca="false">IF(H$9&lt;='Rent roll'!$E13,'Rent roll'!$C13,IF(H$9='Rent roll'!$F13,'Rent roll'!$G13*LetFrac,IF(H$9&gt;'Rent roll'!$F13,'Rent roll'!$G13,0)))</f>
        <v>129000</v>
      </c>
      <c r="I15" s="26" t="n">
        <f aca="false">IF(I$9&lt;='Rent roll'!$E13,'Rent roll'!$C13,IF(I$9='Rent roll'!$F13,'Rent roll'!$G13*LetFrac,IF(I$9&gt;'Rent roll'!$F13,'Rent roll'!$G13,0)))</f>
        <v>129000</v>
      </c>
      <c r="J15" s="26" t="n">
        <f aca="false">IF(J$9&lt;='Rent roll'!$E13,'Rent roll'!$C13,IF(J$9='Rent roll'!$F13,'Rent roll'!$G13*LetFrac,IF(J$9&gt;'Rent roll'!$F13,'Rent roll'!$G13,0)))</f>
        <v>129000</v>
      </c>
      <c r="K15" s="26" t="n">
        <f aca="false">IF(K$9&lt;='Rent roll'!$E13,'Rent roll'!$C13,IF(K$9='Rent roll'!$F13,'Rent roll'!$G13*LetFrac,IF(K$9&gt;'Rent roll'!$F13,'Rent roll'!$G13,0)))</f>
        <v>129000</v>
      </c>
      <c r="L15" s="26" t="n">
        <f aca="false">IF(L$9&lt;='Rent roll'!$E13,'Rent roll'!$C13,IF(L$9='Rent roll'!$F13,'Rent roll'!$G13*LetFrac,IF(L$9&gt;'Rent roll'!$F13,'Rent roll'!$G13,0)))</f>
        <v>129000</v>
      </c>
    </row>
    <row r="16" customFormat="false" ht="15" hidden="false" customHeight="false" outlineLevel="0" collapsed="false">
      <c r="A16" s="7" t="str">
        <f aca="false">'Rent roll'!A14</f>
        <v>Dunardry Media</v>
      </c>
      <c r="B16" s="26" t="n">
        <f aca="false">IF(B$9&lt;='Rent roll'!$E14,'Rent roll'!$C14,IF(B$9='Rent roll'!$F14,'Rent roll'!$G14*LetFrac,IF(B$9&gt;'Rent roll'!$F14,'Rent roll'!$G14,0)))</f>
        <v>93600</v>
      </c>
      <c r="C16" s="26" t="n">
        <f aca="false">IF(C$9&lt;='Rent roll'!$E14,'Rent roll'!$C14,IF(C$9='Rent roll'!$F14,'Rent roll'!$G14*LetFrac,IF(C$9&gt;'Rent roll'!$F14,'Rent roll'!$G14,0)))</f>
        <v>93600</v>
      </c>
      <c r="D16" s="26" t="n">
        <f aca="false">IF(D$9&lt;='Rent roll'!$E14,'Rent roll'!$C14,IF(D$9='Rent roll'!$F14,'Rent roll'!$G14*LetFrac,IF(D$9&gt;'Rent roll'!$F14,'Rent roll'!$G14,0)))</f>
        <v>93600</v>
      </c>
      <c r="E16" s="26" t="n">
        <f aca="false">IF(E$9&lt;='Rent roll'!$E14,'Rent roll'!$C14,IF(E$9='Rent roll'!$F14,'Rent roll'!$G14*LetFrac,IF(E$9&gt;'Rent roll'!$F14,'Rent roll'!$G14,0)))</f>
        <v>93600</v>
      </c>
      <c r="F16" s="26" t="n">
        <f aca="false">IF(F$9&lt;='Rent roll'!$E14,'Rent roll'!$C14,IF(F$9='Rent roll'!$F14,'Rent roll'!$G14*LetFrac,IF(F$9&gt;'Rent roll'!$F14,'Rent roll'!$G14,0)))</f>
        <v>31480.799581125</v>
      </c>
      <c r="G16" s="26" t="n">
        <f aca="false">IF(G$9&lt;='Rent roll'!$E14,'Rent roll'!$C14,IF(G$9='Rent roll'!$F14,'Rent roll'!$G14*LetFrac,IF(G$9&gt;'Rent roll'!$F14,'Rent roll'!$G14,0)))</f>
        <v>125923.1983245</v>
      </c>
      <c r="H16" s="26" t="n">
        <f aca="false">IF(H$9&lt;='Rent roll'!$E14,'Rent roll'!$C14,IF(H$9='Rent roll'!$F14,'Rent roll'!$G14*LetFrac,IF(H$9&gt;'Rent roll'!$F14,'Rent roll'!$G14,0)))</f>
        <v>125923.1983245</v>
      </c>
      <c r="I16" s="26" t="n">
        <f aca="false">IF(I$9&lt;='Rent roll'!$E14,'Rent roll'!$C14,IF(I$9='Rent roll'!$F14,'Rent roll'!$G14*LetFrac,IF(I$9&gt;'Rent roll'!$F14,'Rent roll'!$G14,0)))</f>
        <v>125923.1983245</v>
      </c>
      <c r="J16" s="26" t="n">
        <f aca="false">IF(J$9&lt;='Rent roll'!$E14,'Rent roll'!$C14,IF(J$9='Rent roll'!$F14,'Rent roll'!$G14*LetFrac,IF(J$9&gt;'Rent roll'!$F14,'Rent roll'!$G14,0)))</f>
        <v>125923.1983245</v>
      </c>
      <c r="K16" s="26" t="n">
        <f aca="false">IF(K$9&lt;='Rent roll'!$E14,'Rent roll'!$C14,IF(K$9='Rent roll'!$F14,'Rent roll'!$G14*LetFrac,IF(K$9&gt;'Rent roll'!$F14,'Rent roll'!$G14,0)))</f>
        <v>125923.1983245</v>
      </c>
      <c r="L16" s="26" t="n">
        <f aca="false">IF(L$9&lt;='Rent roll'!$E14,'Rent roll'!$C14,IF(L$9='Rent roll'!$F14,'Rent roll'!$G14*LetFrac,IF(L$9&gt;'Rent roll'!$F14,'Rent roll'!$G14,0)))</f>
        <v>125923.1983245</v>
      </c>
    </row>
    <row r="17" customFormat="false" ht="15" hidden="false" customHeight="false" outlineLevel="0" collapsed="false">
      <c r="A17" s="7" t="str">
        <f aca="false">'Rent roll'!A15</f>
        <v>Eilanreach Labs</v>
      </c>
      <c r="B17" s="26" t="n">
        <f aca="false">IF(B$9&lt;='Rent roll'!$E15,'Rent roll'!$C15,IF(B$9='Rent roll'!$F15,'Rent roll'!$G15*LetFrac,IF(B$9&gt;'Rent roll'!$F15,'Rent roll'!$G15,0)))</f>
        <v>92800</v>
      </c>
      <c r="C17" s="26" t="n">
        <f aca="false">IF(C$9&lt;='Rent roll'!$E15,'Rent roll'!$C15,IF(C$9='Rent roll'!$F15,'Rent roll'!$G15*LetFrac,IF(C$9&gt;'Rent roll'!$F15,'Rent roll'!$G15,0)))</f>
        <v>92800</v>
      </c>
      <c r="D17" s="26" t="n">
        <f aca="false">IF(D$9&lt;='Rent roll'!$E15,'Rent roll'!$C15,IF(D$9='Rent roll'!$F15,'Rent roll'!$G15*LetFrac,IF(D$9&gt;'Rent roll'!$F15,'Rent roll'!$G15,0)))</f>
        <v>92800</v>
      </c>
      <c r="E17" s="26" t="n">
        <f aca="false">IF(E$9&lt;='Rent roll'!$E15,'Rent roll'!$C15,IF(E$9='Rent roll'!$F15,'Rent roll'!$G15*LetFrac,IF(E$9&gt;'Rent roll'!$F15,'Rent roll'!$G15,0)))</f>
        <v>92800</v>
      </c>
      <c r="F17" s="26" t="n">
        <f aca="false">IF(F$9&lt;='Rent roll'!$E15,'Rent roll'!$C15,IF(F$9='Rent roll'!$F15,'Rent roll'!$G15*LetFrac,IF(F$9&gt;'Rent roll'!$F15,'Rent roll'!$G15,0)))</f>
        <v>92800</v>
      </c>
      <c r="G17" s="26" t="n">
        <f aca="false">IF(G$9&lt;='Rent roll'!$E15,'Rent roll'!$C15,IF(G$9='Rent roll'!$F15,'Rent roll'!$G15*LetFrac,IF(G$9&gt;'Rent roll'!$F15,'Rent roll'!$G15,0)))</f>
        <v>92800</v>
      </c>
      <c r="H17" s="26" t="n">
        <f aca="false">IF(H$9&lt;='Rent roll'!$E15,'Rent roll'!$C15,IF(H$9='Rent roll'!$F15,'Rent roll'!$G15*LetFrac,IF(H$9&gt;'Rent roll'!$F15,'Rent roll'!$G15,0)))</f>
        <v>92800</v>
      </c>
      <c r="I17" s="26" t="n">
        <f aca="false">IF(I$9&lt;='Rent roll'!$E15,'Rent roll'!$C15,IF(I$9='Rent roll'!$F15,'Rent roll'!$G15*LetFrac,IF(I$9&gt;'Rent roll'!$F15,'Rent roll'!$G15,0)))</f>
        <v>92800</v>
      </c>
      <c r="J17" s="26" t="n">
        <f aca="false">IF(J$9&lt;='Rent roll'!$E15,'Rent roll'!$C15,IF(J$9='Rent roll'!$F15,'Rent roll'!$G15*LetFrac,IF(J$9&gt;'Rent roll'!$F15,'Rent roll'!$G15,0)))</f>
        <v>30587.6772304617</v>
      </c>
      <c r="K17" s="26" t="n">
        <f aca="false">IF(K$9&lt;='Rent roll'!$E15,'Rent roll'!$C15,IF(K$9='Rent roll'!$F15,'Rent roll'!$G15*LetFrac,IF(K$9&gt;'Rent roll'!$F15,'Rent roll'!$G15,0)))</f>
        <v>122350.708921847</v>
      </c>
      <c r="L17" s="26" t="n">
        <f aca="false">IF(L$9&lt;='Rent roll'!$E15,'Rent roll'!$C15,IF(L$9='Rent roll'!$F15,'Rent roll'!$G15*LetFrac,IF(L$9&gt;'Rent roll'!$F15,'Rent roll'!$G15,0)))</f>
        <v>122350.708921847</v>
      </c>
    </row>
    <row r="18" customFormat="false" ht="15" hidden="false" customHeight="false" outlineLevel="0" collapsed="false">
      <c r="A18" s="7" t="str">
        <f aca="false">'Rent roll'!A16</f>
        <v>Unit 9 (empty at acquisition)</v>
      </c>
      <c r="B18" s="26" t="n">
        <f aca="false">IF(B$9&lt;='Rent roll'!$E16,'Rent roll'!$C16,IF(B$9='Rent roll'!$F16,'Rent roll'!$G16*LetFrac,IF(B$9&gt;'Rent roll'!$F16,'Rent roll'!$G16,0)))</f>
        <v>58078</v>
      </c>
      <c r="C18" s="26" t="n">
        <f aca="false">IF(C$9&lt;='Rent roll'!$E16,'Rent roll'!$C16,IF(C$9='Rent roll'!$F16,'Rent roll'!$G16*LetFrac,IF(C$9&gt;'Rent roll'!$F16,'Rent roll'!$G16,0)))</f>
        <v>232312</v>
      </c>
      <c r="D18" s="26" t="n">
        <f aca="false">IF(D$9&lt;='Rent roll'!$E16,'Rent roll'!$C16,IF(D$9='Rent roll'!$F16,'Rent roll'!$G16*LetFrac,IF(D$9&gt;'Rent roll'!$F16,'Rent roll'!$G16,0)))</f>
        <v>232312</v>
      </c>
      <c r="E18" s="26" t="n">
        <f aca="false">IF(E$9&lt;='Rent roll'!$E16,'Rent roll'!$C16,IF(E$9='Rent roll'!$F16,'Rent roll'!$G16*LetFrac,IF(E$9&gt;'Rent roll'!$F16,'Rent roll'!$G16,0)))</f>
        <v>232312</v>
      </c>
      <c r="F18" s="26" t="n">
        <f aca="false">IF(F$9&lt;='Rent roll'!$E16,'Rent roll'!$C16,IF(F$9='Rent roll'!$F16,'Rent roll'!$G16*LetFrac,IF(F$9&gt;'Rent roll'!$F16,'Rent roll'!$G16,0)))</f>
        <v>232312</v>
      </c>
      <c r="G18" s="26" t="n">
        <f aca="false">IF(G$9&lt;='Rent roll'!$E16,'Rent roll'!$C16,IF(G$9='Rent roll'!$F16,'Rent roll'!$G16*LetFrac,IF(G$9&gt;'Rent roll'!$F16,'Rent roll'!$G16,0)))</f>
        <v>232312</v>
      </c>
      <c r="H18" s="26" t="n">
        <f aca="false">IF(H$9&lt;='Rent roll'!$E16,'Rent roll'!$C16,IF(H$9='Rent roll'!$F16,'Rent roll'!$G16*LetFrac,IF(H$9&gt;'Rent roll'!$F16,'Rent roll'!$G16,0)))</f>
        <v>232312</v>
      </c>
      <c r="I18" s="26" t="n">
        <f aca="false">IF(I$9&lt;='Rent roll'!$E16,'Rent roll'!$C16,IF(I$9='Rent roll'!$F16,'Rent roll'!$G16*LetFrac,IF(I$9&gt;'Rent roll'!$F16,'Rent roll'!$G16,0)))</f>
        <v>232312</v>
      </c>
      <c r="J18" s="26" t="n">
        <f aca="false">IF(J$9&lt;='Rent roll'!$E16,'Rent roll'!$C16,IF(J$9='Rent roll'!$F16,'Rent roll'!$G16*LetFrac,IF(J$9&gt;'Rent roll'!$F16,'Rent roll'!$G16,0)))</f>
        <v>232312</v>
      </c>
      <c r="K18" s="26" t="n">
        <f aca="false">IF(K$9&lt;='Rent roll'!$E16,'Rent roll'!$C16,IF(K$9='Rent roll'!$F16,'Rent roll'!$G16*LetFrac,IF(K$9&gt;'Rent roll'!$F16,'Rent roll'!$G16,0)))</f>
        <v>232312</v>
      </c>
      <c r="L18" s="26" t="n">
        <f aca="false">IF(L$9&lt;='Rent roll'!$E16,'Rent roll'!$C16,IF(L$9='Rent roll'!$F16,'Rent roll'!$G16*LetFrac,IF(L$9&gt;'Rent roll'!$F16,'Rent roll'!$G16,0)))</f>
        <v>232312</v>
      </c>
    </row>
    <row r="19" customFormat="false" ht="15" hidden="false" customHeight="false" outlineLevel="0" collapsed="false">
      <c r="A19" s="7" t="str">
        <f aca="false">'Rent roll'!A17</f>
        <v>Unit 12 (empty at acquisition)</v>
      </c>
      <c r="B19" s="26" t="n">
        <f aca="false">IF(B$9&lt;='Rent roll'!$E17,'Rent roll'!$C17,IF(B$9='Rent roll'!$F17,'Rent roll'!$G17*LetFrac,IF(B$9&gt;'Rent roll'!$F17,'Rent roll'!$G17,0)))</f>
        <v>64417.5</v>
      </c>
      <c r="C19" s="26" t="n">
        <f aca="false">IF(C$9&lt;='Rent roll'!$E17,'Rent roll'!$C17,IF(C$9='Rent roll'!$F17,'Rent roll'!$G17*LetFrac,IF(C$9&gt;'Rent roll'!$F17,'Rent roll'!$G17,0)))</f>
        <v>257670</v>
      </c>
      <c r="D19" s="26" t="n">
        <f aca="false">IF(D$9&lt;='Rent roll'!$E17,'Rent roll'!$C17,IF(D$9='Rent roll'!$F17,'Rent roll'!$G17*LetFrac,IF(D$9&gt;'Rent roll'!$F17,'Rent roll'!$G17,0)))</f>
        <v>257670</v>
      </c>
      <c r="E19" s="26" t="n">
        <f aca="false">IF(E$9&lt;='Rent roll'!$E17,'Rent roll'!$C17,IF(E$9='Rent roll'!$F17,'Rent roll'!$G17*LetFrac,IF(E$9&gt;'Rent roll'!$F17,'Rent roll'!$G17,0)))</f>
        <v>257670</v>
      </c>
      <c r="F19" s="26" t="n">
        <f aca="false">IF(F$9&lt;='Rent roll'!$E17,'Rent roll'!$C17,IF(F$9='Rent roll'!$F17,'Rent roll'!$G17*LetFrac,IF(F$9&gt;'Rent roll'!$F17,'Rent roll'!$G17,0)))</f>
        <v>257670</v>
      </c>
      <c r="G19" s="26" t="n">
        <f aca="false">IF(G$9&lt;='Rent roll'!$E17,'Rent roll'!$C17,IF(G$9='Rent roll'!$F17,'Rent roll'!$G17*LetFrac,IF(G$9&gt;'Rent roll'!$F17,'Rent roll'!$G17,0)))</f>
        <v>257670</v>
      </c>
      <c r="H19" s="26" t="n">
        <f aca="false">IF(H$9&lt;='Rent roll'!$E17,'Rent roll'!$C17,IF(H$9='Rent roll'!$F17,'Rent roll'!$G17*LetFrac,IF(H$9&gt;'Rent roll'!$F17,'Rent roll'!$G17,0)))</f>
        <v>257670</v>
      </c>
      <c r="I19" s="26" t="n">
        <f aca="false">IF(I$9&lt;='Rent roll'!$E17,'Rent roll'!$C17,IF(I$9='Rent roll'!$F17,'Rent roll'!$G17*LetFrac,IF(I$9&gt;'Rent roll'!$F17,'Rent roll'!$G17,0)))</f>
        <v>257670</v>
      </c>
      <c r="J19" s="26" t="n">
        <f aca="false">IF(J$9&lt;='Rent roll'!$E17,'Rent roll'!$C17,IF(J$9='Rent roll'!$F17,'Rent roll'!$G17*LetFrac,IF(J$9&gt;'Rent roll'!$F17,'Rent roll'!$G17,0)))</f>
        <v>257670</v>
      </c>
      <c r="K19" s="26" t="n">
        <f aca="false">IF(K$9&lt;='Rent roll'!$E17,'Rent roll'!$C17,IF(K$9='Rent roll'!$F17,'Rent roll'!$G17*LetFrac,IF(K$9&gt;'Rent roll'!$F17,'Rent roll'!$G17,0)))</f>
        <v>257670</v>
      </c>
      <c r="L19" s="26" t="n">
        <f aca="false">IF(L$9&lt;='Rent roll'!$E17,'Rent roll'!$C17,IF(L$9='Rent roll'!$F17,'Rent roll'!$G17*LetFrac,IF(L$9&gt;'Rent roll'!$F17,'Rent roll'!$G17,0)))</f>
        <v>257670</v>
      </c>
    </row>
    <row r="20" customFormat="false" ht="15" hidden="false" customHeight="false" outlineLevel="0" collapsed="false">
      <c r="A20" s="11" t="s">
        <v>97</v>
      </c>
      <c r="B20" s="12" t="n">
        <f aca="false">SUM(B10:B19)</f>
        <v>1698395.5</v>
      </c>
      <c r="C20" s="12" t="n">
        <f aca="false">SUM(C10:C19)</f>
        <v>2065882</v>
      </c>
      <c r="D20" s="12" t="n">
        <f aca="false">SUM(D10:D19)</f>
        <v>1989265.845</v>
      </c>
      <c r="E20" s="12" t="n">
        <f aca="false">SUM(E10:E19)</f>
        <v>1939484.5671375</v>
      </c>
      <c r="F20" s="12" t="n">
        <f aca="false">SUM(F10:F19)</f>
        <v>2131366.92813113</v>
      </c>
      <c r="G20" s="12" t="n">
        <f aca="false">SUM(G10:G19)</f>
        <v>2100975.6380119</v>
      </c>
      <c r="H20" s="12" t="n">
        <f aca="false">SUM(H10:H19)</f>
        <v>2276674.5714241</v>
      </c>
      <c r="I20" s="12" t="n">
        <f aca="false">SUM(I10:I19)</f>
        <v>1951410.48718809</v>
      </c>
      <c r="J20" s="12" t="n">
        <f aca="false">SUM(J10:J19)</f>
        <v>2330905.91171051</v>
      </c>
      <c r="K20" s="12" t="n">
        <f aca="false">SUM(K10:K19)</f>
        <v>2273213.43707028</v>
      </c>
      <c r="L20" s="12" t="n">
        <f aca="false">SUM(L10:L19)</f>
        <v>2513646.91807541</v>
      </c>
    </row>
    <row r="22" customFormat="false" ht="15" hidden="false" customHeight="false" outlineLevel="0" collapsed="false">
      <c r="A22" s="4" t="s">
        <v>98</v>
      </c>
      <c r="B22" s="6"/>
      <c r="C22" s="6"/>
      <c r="D22" s="6"/>
      <c r="E22" s="6"/>
      <c r="F22" s="6"/>
      <c r="G22" s="6"/>
      <c r="H22" s="6"/>
      <c r="I22" s="6"/>
      <c r="J22" s="6"/>
      <c r="K22" s="6"/>
      <c r="L22" s="6"/>
    </row>
    <row r="24" customFormat="false" ht="15" hidden="false" customHeight="false" outlineLevel="0" collapsed="false">
      <c r="A24" s="0" t="str">
        <f aca="false">'Rent roll'!A8</f>
        <v>Ardgour Logistics</v>
      </c>
      <c r="B24" s="26" t="n">
        <f aca="false">IF(B$9='Rent roll'!$F8,'Rent roll'!$H8,0)</f>
        <v>0</v>
      </c>
      <c r="C24" s="26" t="n">
        <f aca="false">IF(C$9='Rent roll'!$F8,'Rent roll'!$H8,0)</f>
        <v>0</v>
      </c>
      <c r="D24" s="26" t="n">
        <f aca="false">IF(D$9='Rent roll'!$F8,'Rent roll'!$H8,0)</f>
        <v>0</v>
      </c>
      <c r="E24" s="26" t="n">
        <f aca="false">IF(E$9='Rent roll'!$F8,'Rent roll'!$H8,0)</f>
        <v>0</v>
      </c>
      <c r="F24" s="26" t="n">
        <f aca="false">IF(F$9='Rent roll'!$F8,'Rent roll'!$H8,0)</f>
        <v>0</v>
      </c>
      <c r="G24" s="26" t="n">
        <f aca="false">IF(G$9='Rent roll'!$F8,'Rent roll'!$H8,0)</f>
        <v>0</v>
      </c>
      <c r="H24" s="26" t="n">
        <f aca="false">IF(H$9='Rent roll'!$F8,'Rent roll'!$H8,0)</f>
        <v>0</v>
      </c>
      <c r="I24" s="26" t="n">
        <f aca="false">IF(I$9='Rent roll'!$F8,'Rent roll'!$H8,0)</f>
        <v>88341.5494583934</v>
      </c>
      <c r="J24" s="26" t="n">
        <f aca="false">IF(J$9='Rent roll'!$F8,'Rent roll'!$H8,0)</f>
        <v>0</v>
      </c>
      <c r="K24" s="26" t="n">
        <f aca="false">IF(K$9='Rent roll'!$F8,'Rent roll'!$H8,0)</f>
        <v>0</v>
      </c>
      <c r="L24" s="26" t="n">
        <f aca="false">IF(L$9='Rent roll'!$F8,'Rent roll'!$H8,0)</f>
        <v>0</v>
      </c>
    </row>
    <row r="25" customFormat="false" ht="15" hidden="false" customHeight="false" outlineLevel="0" collapsed="false">
      <c r="A25" s="0" t="str">
        <f aca="false">'Rent roll'!A9</f>
        <v>Kilmory Print</v>
      </c>
      <c r="B25" s="26" t="n">
        <f aca="false">IF(B$9='Rent roll'!$F9,'Rent roll'!$H9,0)</f>
        <v>0</v>
      </c>
      <c r="C25" s="26" t="n">
        <f aca="false">IF(C$9='Rent roll'!$F9,'Rent roll'!$H9,0)</f>
        <v>0</v>
      </c>
      <c r="D25" s="26" t="n">
        <f aca="false">IF(D$9='Rent roll'!$F9,'Rent roll'!$H9,0)</f>
        <v>0</v>
      </c>
      <c r="E25" s="26" t="n">
        <f aca="false">IF(E$9='Rent roll'!$F9,'Rent roll'!$H9,0)</f>
        <v>50800.3122825</v>
      </c>
      <c r="F25" s="26" t="n">
        <f aca="false">IF(F$9='Rent roll'!$F9,'Rent roll'!$H9,0)</f>
        <v>0</v>
      </c>
      <c r="G25" s="26" t="n">
        <f aca="false">IF(G$9='Rent roll'!$F9,'Rent roll'!$H9,0)</f>
        <v>0</v>
      </c>
      <c r="H25" s="26" t="n">
        <f aca="false">IF(H$9='Rent roll'!$F9,'Rent roll'!$H9,0)</f>
        <v>0</v>
      </c>
      <c r="I25" s="26" t="n">
        <f aca="false">IF(I$9='Rent roll'!$F9,'Rent roll'!$H9,0)</f>
        <v>0</v>
      </c>
      <c r="J25" s="26" t="n">
        <f aca="false">IF(J$9='Rent roll'!$F9,'Rent roll'!$H9,0)</f>
        <v>0</v>
      </c>
      <c r="K25" s="26" t="n">
        <f aca="false">IF(K$9='Rent roll'!$F9,'Rent roll'!$H9,0)</f>
        <v>0</v>
      </c>
      <c r="L25" s="26" t="n">
        <f aca="false">IF(L$9='Rent roll'!$F9,'Rent roll'!$H9,0)</f>
        <v>0</v>
      </c>
    </row>
    <row r="26" customFormat="false" ht="15" hidden="false" customHeight="false" outlineLevel="0" collapsed="false">
      <c r="A26" s="0" t="str">
        <f aca="false">'Rent roll'!A10</f>
        <v>Tannoch Foods</v>
      </c>
      <c r="B26" s="26" t="n">
        <f aca="false">IF(B$9='Rent roll'!$F10,'Rent roll'!$H10,0)</f>
        <v>0</v>
      </c>
      <c r="C26" s="26" t="n">
        <f aca="false">IF(C$9='Rent roll'!$F10,'Rent roll'!$H10,0)</f>
        <v>0</v>
      </c>
      <c r="D26" s="26" t="n">
        <f aca="false">IF(D$9='Rent roll'!$F10,'Rent roll'!$H10,0)</f>
        <v>0</v>
      </c>
      <c r="E26" s="26" t="n">
        <f aca="false">IF(E$9='Rent roll'!$F10,'Rent roll'!$H10,0)</f>
        <v>0</v>
      </c>
      <c r="F26" s="26" t="n">
        <f aca="false">IF(F$9='Rent roll'!$F10,'Rent roll'!$H10,0)</f>
        <v>0</v>
      </c>
      <c r="G26" s="26" t="n">
        <f aca="false">IF(G$9='Rent roll'!$F10,'Rent roll'!$H10,0)</f>
        <v>0</v>
      </c>
      <c r="H26" s="26" t="n">
        <f aca="false">IF(H$9='Rent roll'!$F10,'Rent roll'!$H10,0)</f>
        <v>0</v>
      </c>
      <c r="I26" s="26" t="n">
        <f aca="false">IF(I$9='Rent roll'!$F10,'Rent roll'!$H10,0)</f>
        <v>0</v>
      </c>
      <c r="J26" s="26" t="n">
        <f aca="false">IF(J$9='Rent roll'!$F10,'Rent roll'!$H10,0)</f>
        <v>0</v>
      </c>
      <c r="K26" s="26" t="n">
        <f aca="false">IF(K$9='Rent roll'!$F10,'Rent roll'!$H10,0)</f>
        <v>48086.6962010262</v>
      </c>
      <c r="L26" s="26" t="n">
        <f aca="false">IF(L$9='Rent roll'!$F10,'Rent roll'!$H10,0)</f>
        <v>0</v>
      </c>
    </row>
    <row r="27" customFormat="false" ht="15" hidden="false" customHeight="false" outlineLevel="0" collapsed="false">
      <c r="A27" s="0" t="str">
        <f aca="false">'Rent roll'!A11</f>
        <v>Struan Instruments</v>
      </c>
      <c r="B27" s="26" t="n">
        <f aca="false">IF(B$9='Rent roll'!$F11,'Rent roll'!$H11,0)</f>
        <v>0</v>
      </c>
      <c r="C27" s="26" t="n">
        <f aca="false">IF(C$9='Rent roll'!$F11,'Rent roll'!$H11,0)</f>
        <v>0</v>
      </c>
      <c r="D27" s="26" t="n">
        <f aca="false">IF(D$9='Rent roll'!$F11,'Rent roll'!$H11,0)</f>
        <v>0</v>
      </c>
      <c r="E27" s="26" t="n">
        <f aca="false">IF(E$9='Rent roll'!$F11,'Rent roll'!$H11,0)</f>
        <v>0</v>
      </c>
      <c r="F27" s="26" t="n">
        <f aca="false">IF(F$9='Rent roll'!$F11,'Rent roll'!$H11,0)</f>
        <v>0</v>
      </c>
      <c r="G27" s="26" t="n">
        <f aca="false">IF(G$9='Rent roll'!$F11,'Rent roll'!$H11,0)</f>
        <v>35139.7866824395</v>
      </c>
      <c r="H27" s="26" t="n">
        <f aca="false">IF(H$9='Rent roll'!$F11,'Rent roll'!$H11,0)</f>
        <v>0</v>
      </c>
      <c r="I27" s="26" t="n">
        <f aca="false">IF(I$9='Rent roll'!$F11,'Rent roll'!$H11,0)</f>
        <v>0</v>
      </c>
      <c r="J27" s="26" t="n">
        <f aca="false">IF(J$9='Rent roll'!$F11,'Rent roll'!$H11,0)</f>
        <v>0</v>
      </c>
      <c r="K27" s="26" t="n">
        <f aca="false">IF(K$9='Rent roll'!$F11,'Rent roll'!$H11,0)</f>
        <v>0</v>
      </c>
      <c r="L27" s="26" t="n">
        <f aca="false">IF(L$9='Rent roll'!$F11,'Rent roll'!$H11,0)</f>
        <v>0</v>
      </c>
    </row>
    <row r="28" customFormat="false" ht="15" hidden="false" customHeight="false" outlineLevel="0" collapsed="false">
      <c r="A28" s="0" t="str">
        <f aca="false">'Rent roll'!A12</f>
        <v>Balvaig Textiles</v>
      </c>
      <c r="B28" s="26" t="n">
        <f aca="false">IF(B$9='Rent roll'!$F12,'Rent roll'!$H12,0)</f>
        <v>0</v>
      </c>
      <c r="C28" s="26" t="n">
        <f aca="false">IF(C$9='Rent roll'!$F12,'Rent roll'!$H12,0)</f>
        <v>0</v>
      </c>
      <c r="D28" s="26" t="n">
        <f aca="false">IF(D$9='Rent roll'!$F12,'Rent roll'!$H12,0)</f>
        <v>24590.307</v>
      </c>
      <c r="E28" s="26" t="n">
        <f aca="false">IF(E$9='Rent roll'!$F12,'Rent roll'!$H12,0)</f>
        <v>0</v>
      </c>
      <c r="F28" s="26" t="n">
        <f aca="false">IF(F$9='Rent roll'!$F12,'Rent roll'!$H12,0)</f>
        <v>0</v>
      </c>
      <c r="G28" s="26" t="n">
        <f aca="false">IF(G$9='Rent roll'!$F12,'Rent roll'!$H12,0)</f>
        <v>0</v>
      </c>
      <c r="H28" s="26" t="n">
        <f aca="false">IF(H$9='Rent roll'!$F12,'Rent roll'!$H12,0)</f>
        <v>0</v>
      </c>
      <c r="I28" s="26" t="n">
        <f aca="false">IF(I$9='Rent roll'!$F12,'Rent roll'!$H12,0)</f>
        <v>0</v>
      </c>
      <c r="J28" s="26" t="n">
        <f aca="false">IF(J$9='Rent roll'!$F12,'Rent roll'!$H12,0)</f>
        <v>0</v>
      </c>
      <c r="K28" s="26" t="n">
        <f aca="false">IF(K$9='Rent roll'!$F12,'Rent roll'!$H12,0)</f>
        <v>0</v>
      </c>
      <c r="L28" s="26" t="n">
        <f aca="false">IF(L$9='Rent roll'!$F12,'Rent roll'!$H12,0)</f>
        <v>0</v>
      </c>
    </row>
    <row r="29" customFormat="false" ht="15" hidden="false" customHeight="false" outlineLevel="0" collapsed="false">
      <c r="A29" s="0" t="str">
        <f aca="false">'Rent roll'!A13</f>
        <v>Corrour Systems</v>
      </c>
      <c r="B29" s="26" t="n">
        <f aca="false">IF(B$9='Rent roll'!$F13,'Rent roll'!$H13,0)</f>
        <v>0</v>
      </c>
      <c r="C29" s="26" t="n">
        <f aca="false">IF(C$9='Rent roll'!$F13,'Rent roll'!$H13,0)</f>
        <v>0</v>
      </c>
      <c r="D29" s="26" t="n">
        <f aca="false">IF(D$9='Rent roll'!$F13,'Rent roll'!$H13,0)</f>
        <v>0</v>
      </c>
      <c r="E29" s="26" t="n">
        <f aca="false">IF(E$9='Rent roll'!$F13,'Rent roll'!$H13,0)</f>
        <v>0</v>
      </c>
      <c r="F29" s="26" t="n">
        <f aca="false">IF(F$9='Rent roll'!$F13,'Rent roll'!$H13,0)</f>
        <v>0</v>
      </c>
      <c r="G29" s="26" t="n">
        <f aca="false">IF(G$9='Rent roll'!$F13,'Rent roll'!$H13,0)</f>
        <v>0</v>
      </c>
      <c r="H29" s="26" t="n">
        <f aca="false">IF(H$9='Rent roll'!$F13,'Rent roll'!$H13,0)</f>
        <v>0</v>
      </c>
      <c r="I29" s="26" t="n">
        <f aca="false">IF(I$9='Rent roll'!$F13,'Rent roll'!$H13,0)</f>
        <v>0</v>
      </c>
      <c r="J29" s="26" t="n">
        <f aca="false">IF(J$9='Rent roll'!$F13,'Rent roll'!$H13,0)</f>
        <v>0</v>
      </c>
      <c r="K29" s="26" t="n">
        <f aca="false">IF(K$9='Rent roll'!$F13,'Rent roll'!$H13,0)</f>
        <v>0</v>
      </c>
      <c r="L29" s="26" t="n">
        <f aca="false">IF(L$9='Rent roll'!$F13,'Rent roll'!$H13,0)</f>
        <v>0</v>
      </c>
    </row>
    <row r="30" customFormat="false" ht="15" hidden="false" customHeight="false" outlineLevel="0" collapsed="false">
      <c r="A30" s="0" t="str">
        <f aca="false">'Rent roll'!A14</f>
        <v>Dunardry Media</v>
      </c>
      <c r="B30" s="26" t="n">
        <f aca="false">IF(B$9='Rent roll'!$F14,'Rent roll'!$H14,0)</f>
        <v>0</v>
      </c>
      <c r="C30" s="26" t="n">
        <f aca="false">IF(C$9='Rent roll'!$F14,'Rent roll'!$H14,0)</f>
        <v>0</v>
      </c>
      <c r="D30" s="26" t="n">
        <f aca="false">IF(D$9='Rent roll'!$F14,'Rent roll'!$H14,0)</f>
        <v>0</v>
      </c>
      <c r="E30" s="26" t="n">
        <f aca="false">IF(E$9='Rent roll'!$F14,'Rent roll'!$H14,0)</f>
        <v>0</v>
      </c>
      <c r="F30" s="26" t="n">
        <f aca="false">IF(F$9='Rent roll'!$F14,'Rent roll'!$H14,0)</f>
        <v>18888.479748675</v>
      </c>
      <c r="G30" s="26" t="n">
        <f aca="false">IF(G$9='Rent roll'!$F14,'Rent roll'!$H14,0)</f>
        <v>0</v>
      </c>
      <c r="H30" s="26" t="n">
        <f aca="false">IF(H$9='Rent roll'!$F14,'Rent roll'!$H14,0)</f>
        <v>0</v>
      </c>
      <c r="I30" s="26" t="n">
        <f aca="false">IF(I$9='Rent roll'!$F14,'Rent roll'!$H14,0)</f>
        <v>0</v>
      </c>
      <c r="J30" s="26" t="n">
        <f aca="false">IF(J$9='Rent roll'!$F14,'Rent roll'!$H14,0)</f>
        <v>0</v>
      </c>
      <c r="K30" s="26" t="n">
        <f aca="false">IF(K$9='Rent roll'!$F14,'Rent roll'!$H14,0)</f>
        <v>0</v>
      </c>
      <c r="L30" s="26" t="n">
        <f aca="false">IF(L$9='Rent roll'!$F14,'Rent roll'!$H14,0)</f>
        <v>0</v>
      </c>
    </row>
    <row r="31" customFormat="false" ht="15" hidden="false" customHeight="false" outlineLevel="0" collapsed="false">
      <c r="A31" s="0" t="str">
        <f aca="false">'Rent roll'!A15</f>
        <v>Eilanreach Labs</v>
      </c>
      <c r="B31" s="26" t="n">
        <f aca="false">IF(B$9='Rent roll'!$F15,'Rent roll'!$H15,0)</f>
        <v>0</v>
      </c>
      <c r="C31" s="26" t="n">
        <f aca="false">IF(C$9='Rent roll'!$F15,'Rent roll'!$H15,0)</f>
        <v>0</v>
      </c>
      <c r="D31" s="26" t="n">
        <f aca="false">IF(D$9='Rent roll'!$F15,'Rent roll'!$H15,0)</f>
        <v>0</v>
      </c>
      <c r="E31" s="26" t="n">
        <f aca="false">IF(E$9='Rent roll'!$F15,'Rent roll'!$H15,0)</f>
        <v>0</v>
      </c>
      <c r="F31" s="26" t="n">
        <f aca="false">IF(F$9='Rent roll'!$F15,'Rent roll'!$H15,0)</f>
        <v>0</v>
      </c>
      <c r="G31" s="26" t="n">
        <f aca="false">IF(G$9='Rent roll'!$F15,'Rent roll'!$H15,0)</f>
        <v>0</v>
      </c>
      <c r="H31" s="26" t="n">
        <f aca="false">IF(H$9='Rent roll'!$F15,'Rent roll'!$H15,0)</f>
        <v>0</v>
      </c>
      <c r="I31" s="26" t="n">
        <f aca="false">IF(I$9='Rent roll'!$F15,'Rent roll'!$H15,0)</f>
        <v>0</v>
      </c>
      <c r="J31" s="26" t="n">
        <f aca="false">IF(J$9='Rent roll'!$F15,'Rent roll'!$H15,0)</f>
        <v>18352.606338277</v>
      </c>
      <c r="K31" s="26" t="n">
        <f aca="false">IF(K$9='Rent roll'!$F15,'Rent roll'!$H15,0)</f>
        <v>0</v>
      </c>
      <c r="L31" s="26" t="n">
        <f aca="false">IF(L$9='Rent roll'!$F15,'Rent roll'!$H15,0)</f>
        <v>0</v>
      </c>
    </row>
    <row r="32" customFormat="false" ht="15" hidden="false" customHeight="false" outlineLevel="0" collapsed="false">
      <c r="A32" s="0" t="str">
        <f aca="false">'Rent roll'!A16</f>
        <v>Unit 9 (empty at acquisition)</v>
      </c>
      <c r="B32" s="26" t="n">
        <f aca="false">IF(B$9='Rent roll'!$F16,'Rent roll'!$H16,0)</f>
        <v>34846.8</v>
      </c>
      <c r="C32" s="26" t="n">
        <f aca="false">IF(C$9='Rent roll'!$F16,'Rent roll'!$H16,0)</f>
        <v>0</v>
      </c>
      <c r="D32" s="26" t="n">
        <f aca="false">IF(D$9='Rent roll'!$F16,'Rent roll'!$H16,0)</f>
        <v>0</v>
      </c>
      <c r="E32" s="26" t="n">
        <f aca="false">IF(E$9='Rent roll'!$F16,'Rent roll'!$H16,0)</f>
        <v>0</v>
      </c>
      <c r="F32" s="26" t="n">
        <f aca="false">IF(F$9='Rent roll'!$F16,'Rent roll'!$H16,0)</f>
        <v>0</v>
      </c>
      <c r="G32" s="26" t="n">
        <f aca="false">IF(G$9='Rent roll'!$F16,'Rent roll'!$H16,0)</f>
        <v>0</v>
      </c>
      <c r="H32" s="26" t="n">
        <f aca="false">IF(H$9='Rent roll'!$F16,'Rent roll'!$H16,0)</f>
        <v>0</v>
      </c>
      <c r="I32" s="26" t="n">
        <f aca="false">IF(I$9='Rent roll'!$F16,'Rent roll'!$H16,0)</f>
        <v>0</v>
      </c>
      <c r="J32" s="26" t="n">
        <f aca="false">IF(J$9='Rent roll'!$F16,'Rent roll'!$H16,0)</f>
        <v>0</v>
      </c>
      <c r="K32" s="26" t="n">
        <f aca="false">IF(K$9='Rent roll'!$F16,'Rent roll'!$H16,0)</f>
        <v>0</v>
      </c>
      <c r="L32" s="26" t="n">
        <f aca="false">IF(L$9='Rent roll'!$F16,'Rent roll'!$H16,0)</f>
        <v>0</v>
      </c>
    </row>
    <row r="33" customFormat="false" ht="15" hidden="false" customHeight="false" outlineLevel="0" collapsed="false">
      <c r="A33" s="0" t="str">
        <f aca="false">'Rent roll'!A17</f>
        <v>Unit 12 (empty at acquisition)</v>
      </c>
      <c r="B33" s="26" t="n">
        <f aca="false">IF(B$9='Rent roll'!$F17,'Rent roll'!$H17,0)</f>
        <v>38650.5</v>
      </c>
      <c r="C33" s="26" t="n">
        <f aca="false">IF(C$9='Rent roll'!$F17,'Rent roll'!$H17,0)</f>
        <v>0</v>
      </c>
      <c r="D33" s="26" t="n">
        <f aca="false">IF(D$9='Rent roll'!$F17,'Rent roll'!$H17,0)</f>
        <v>0</v>
      </c>
      <c r="E33" s="26" t="n">
        <f aca="false">IF(E$9='Rent roll'!$F17,'Rent roll'!$H17,0)</f>
        <v>0</v>
      </c>
      <c r="F33" s="26" t="n">
        <f aca="false">IF(F$9='Rent roll'!$F17,'Rent roll'!$H17,0)</f>
        <v>0</v>
      </c>
      <c r="G33" s="26" t="n">
        <f aca="false">IF(G$9='Rent roll'!$F17,'Rent roll'!$H17,0)</f>
        <v>0</v>
      </c>
      <c r="H33" s="26" t="n">
        <f aca="false">IF(H$9='Rent roll'!$F17,'Rent roll'!$H17,0)</f>
        <v>0</v>
      </c>
      <c r="I33" s="26" t="n">
        <f aca="false">IF(I$9='Rent roll'!$F17,'Rent roll'!$H17,0)</f>
        <v>0</v>
      </c>
      <c r="J33" s="26" t="n">
        <f aca="false">IF(J$9='Rent roll'!$F17,'Rent roll'!$H17,0)</f>
        <v>0</v>
      </c>
      <c r="K33" s="26" t="n">
        <f aca="false">IF(K$9='Rent roll'!$F17,'Rent roll'!$H17,0)</f>
        <v>0</v>
      </c>
      <c r="L33" s="26" t="n">
        <f aca="false">IF(L$9='Rent roll'!$F17,'Rent roll'!$H17,0)</f>
        <v>0</v>
      </c>
    </row>
    <row r="34" customFormat="false" ht="15" hidden="false" customHeight="false" outlineLevel="0" collapsed="false">
      <c r="A34" s="11" t="s">
        <v>99</v>
      </c>
      <c r="B34" s="12" t="n">
        <f aca="false">SUM(B24:B33)</f>
        <v>73497.3</v>
      </c>
      <c r="C34" s="12" t="n">
        <f aca="false">SUM(C24:C33)</f>
        <v>0</v>
      </c>
      <c r="D34" s="12" t="n">
        <f aca="false">SUM(D24:D33)</f>
        <v>24590.307</v>
      </c>
      <c r="E34" s="12" t="n">
        <f aca="false">SUM(E24:E33)</f>
        <v>50800.3122825</v>
      </c>
      <c r="F34" s="12" t="n">
        <f aca="false">SUM(F24:F33)</f>
        <v>18888.479748675</v>
      </c>
      <c r="G34" s="12" t="n">
        <f aca="false">SUM(G24:G33)</f>
        <v>35139.7866824395</v>
      </c>
      <c r="H34" s="12" t="n">
        <f aca="false">SUM(H24:H33)</f>
        <v>0</v>
      </c>
      <c r="I34" s="12" t="n">
        <f aca="false">SUM(I24:I33)</f>
        <v>88341.5494583934</v>
      </c>
      <c r="J34" s="12" t="n">
        <f aca="false">SUM(J24:J33)</f>
        <v>18352.606338277</v>
      </c>
      <c r="K34" s="12" t="n">
        <f aca="false">SUM(K24:K33)</f>
        <v>48086.6962010262</v>
      </c>
      <c r="L34" s="12" t="n">
        <f aca="false">SUM(L24:L33)</f>
        <v>0</v>
      </c>
    </row>
    <row r="35" customFormat="false" ht="15" hidden="false" customHeight="false" outlineLevel="0" collapsed="false">
      <c r="A35" s="11" t="s">
        <v>100</v>
      </c>
      <c r="B35" s="12" t="n">
        <f aca="false">SUM(B34:L34)</f>
        <v>357697.037711311</v>
      </c>
    </row>
    <row r="37" customFormat="false" ht="15" hidden="false" customHeight="false" outlineLevel="0" collapsed="false">
      <c r="A37" s="4" t="s">
        <v>101</v>
      </c>
      <c r="B37" s="6"/>
      <c r="C37" s="6"/>
      <c r="D37" s="6"/>
      <c r="E37" s="6"/>
      <c r="F37" s="6"/>
      <c r="G37" s="6"/>
      <c r="H37" s="6"/>
      <c r="I37" s="6"/>
      <c r="J37" s="6"/>
      <c r="K37" s="6"/>
      <c r="L37" s="6"/>
    </row>
    <row r="39" customFormat="false" ht="15" hidden="false" customHeight="false" outlineLevel="0" collapsed="false">
      <c r="A39" s="24" t="s">
        <v>55</v>
      </c>
      <c r="B39" s="25" t="n">
        <v>1</v>
      </c>
      <c r="C39" s="25" t="n">
        <f aca="false">B39+1</f>
        <v>2</v>
      </c>
      <c r="D39" s="25" t="n">
        <f aca="false">C39+1</f>
        <v>3</v>
      </c>
      <c r="E39" s="25" t="n">
        <f aca="false">D39+1</f>
        <v>4</v>
      </c>
      <c r="F39" s="25" t="n">
        <f aca="false">E39+1</f>
        <v>5</v>
      </c>
      <c r="G39" s="25" t="n">
        <f aca="false">F39+1</f>
        <v>6</v>
      </c>
      <c r="H39" s="25" t="n">
        <f aca="false">G39+1</f>
        <v>7</v>
      </c>
      <c r="I39" s="25" t="n">
        <f aca="false">H39+1</f>
        <v>8</v>
      </c>
      <c r="J39" s="25" t="n">
        <f aca="false">I39+1</f>
        <v>9</v>
      </c>
      <c r="K39" s="25" t="n">
        <f aca="false">J39+1</f>
        <v>10</v>
      </c>
      <c r="L39" s="25" t="n">
        <f aca="false">K39+1</f>
        <v>11</v>
      </c>
    </row>
    <row r="40" customFormat="false" ht="15" hidden="false" customHeight="false" outlineLevel="0" collapsed="false">
      <c r="A40" s="7" t="s">
        <v>102</v>
      </c>
      <c r="B40" s="26" t="n">
        <f aca="false">B20</f>
        <v>1698395.5</v>
      </c>
      <c r="C40" s="26" t="n">
        <f aca="false">C20</f>
        <v>2065882</v>
      </c>
      <c r="D40" s="26" t="n">
        <f aca="false">D20</f>
        <v>1989265.845</v>
      </c>
      <c r="E40" s="26" t="n">
        <f aca="false">E20</f>
        <v>1939484.5671375</v>
      </c>
      <c r="F40" s="26" t="n">
        <f aca="false">F20</f>
        <v>2131366.92813113</v>
      </c>
      <c r="G40" s="26" t="n">
        <f aca="false">G20</f>
        <v>2100975.6380119</v>
      </c>
      <c r="H40" s="26" t="n">
        <f aca="false">H20</f>
        <v>2276674.5714241</v>
      </c>
      <c r="I40" s="26" t="n">
        <f aca="false">I20</f>
        <v>1951410.48718809</v>
      </c>
      <c r="J40" s="26" t="n">
        <f aca="false">J20</f>
        <v>2330905.91171051</v>
      </c>
      <c r="K40" s="26" t="n">
        <f aca="false">K20</f>
        <v>2273213.43707028</v>
      </c>
      <c r="L40" s="26" t="n">
        <f aca="false">L20</f>
        <v>2513646.91807541</v>
      </c>
    </row>
    <row r="41" customFormat="false" ht="15" hidden="false" customHeight="false" outlineLevel="0" collapsed="false">
      <c r="A41" s="7" t="s">
        <v>103</v>
      </c>
      <c r="B41" s="26" t="n">
        <f aca="false">B20*NonRec</f>
        <v>28023.52575</v>
      </c>
      <c r="C41" s="26" t="n">
        <f aca="false">C20*NonRec</f>
        <v>34087.053</v>
      </c>
      <c r="D41" s="26" t="n">
        <f aca="false">D20*NonRec</f>
        <v>32822.8864425</v>
      </c>
      <c r="E41" s="26" t="n">
        <f aca="false">E20*NonRec</f>
        <v>32001.4953577688</v>
      </c>
      <c r="F41" s="26" t="n">
        <f aca="false">F20*NonRec</f>
        <v>35167.5543141636</v>
      </c>
      <c r="G41" s="26" t="n">
        <f aca="false">G20*NonRec</f>
        <v>34666.0980271963</v>
      </c>
      <c r="H41" s="26" t="n">
        <f aca="false">H20*NonRec</f>
        <v>37565.1304284976</v>
      </c>
      <c r="I41" s="26" t="n">
        <f aca="false">I20*NonRec</f>
        <v>32198.2730386034</v>
      </c>
      <c r="J41" s="26" t="n">
        <f aca="false">J20*NonRec</f>
        <v>38459.9475432235</v>
      </c>
      <c r="K41" s="26" t="n">
        <f aca="false">K20*NonRec</f>
        <v>37508.0217116596</v>
      </c>
      <c r="L41" s="26" t="n">
        <f aca="false">L20*NonRec</f>
        <v>41475.1741482442</v>
      </c>
    </row>
    <row r="42" customFormat="false" ht="15" hidden="false" customHeight="false" outlineLevel="0" collapsed="false">
      <c r="A42" s="7" t="s">
        <v>104</v>
      </c>
      <c r="B42" s="26" t="n">
        <f aca="false">B20*MgmtFee</f>
        <v>12737.96625</v>
      </c>
      <c r="C42" s="26" t="n">
        <f aca="false">C20*MgmtFee</f>
        <v>15494.115</v>
      </c>
      <c r="D42" s="26" t="n">
        <f aca="false">D20*MgmtFee</f>
        <v>14919.4938375</v>
      </c>
      <c r="E42" s="26" t="n">
        <f aca="false">E20*MgmtFee</f>
        <v>14546.1342535313</v>
      </c>
      <c r="F42" s="26" t="n">
        <f aca="false">F20*MgmtFee</f>
        <v>15985.2519609834</v>
      </c>
      <c r="G42" s="26" t="n">
        <f aca="false">G20*MgmtFee</f>
        <v>15757.3172850892</v>
      </c>
      <c r="H42" s="26" t="n">
        <f aca="false">H20*MgmtFee</f>
        <v>17075.0592856807</v>
      </c>
      <c r="I42" s="26" t="n">
        <f aca="false">I20*MgmtFee</f>
        <v>14635.5786539106</v>
      </c>
      <c r="J42" s="26" t="n">
        <f aca="false">J20*MgmtFee</f>
        <v>17481.7943378289</v>
      </c>
      <c r="K42" s="26" t="n">
        <f aca="false">K20*MgmtFee</f>
        <v>17049.1007780271</v>
      </c>
      <c r="L42" s="26" t="n">
        <f aca="false">L20*MgmtFee</f>
        <v>18852.3518855656</v>
      </c>
    </row>
    <row r="43" customFormat="false" ht="15" hidden="false" customHeight="false" outlineLevel="0" collapsed="false">
      <c r="A43" s="11" t="s">
        <v>105</v>
      </c>
      <c r="B43" s="12" t="n">
        <f aca="false">B20-B41-B42</f>
        <v>1657634.008</v>
      </c>
      <c r="C43" s="12" t="n">
        <f aca="false">C20-C41-C42</f>
        <v>2016300.832</v>
      </c>
      <c r="D43" s="12" t="n">
        <f aca="false">D20-D41-D42</f>
        <v>1941523.46472</v>
      </c>
      <c r="E43" s="12" t="n">
        <f aca="false">E20-E41-E42</f>
        <v>1892936.9375262</v>
      </c>
      <c r="F43" s="12" t="n">
        <f aca="false">F20-F41-F42</f>
        <v>2080214.12185598</v>
      </c>
      <c r="G43" s="12" t="n">
        <f aca="false">G20-G41-G42</f>
        <v>2050552.22269961</v>
      </c>
      <c r="H43" s="12" t="n">
        <f aca="false">H20-H41-H42</f>
        <v>2222034.38170992</v>
      </c>
      <c r="I43" s="12" t="n">
        <f aca="false">I20-I41-I42</f>
        <v>1904576.63549557</v>
      </c>
      <c r="J43" s="12" t="n">
        <f aca="false">J20-J41-J42</f>
        <v>2274964.16982946</v>
      </c>
      <c r="K43" s="12" t="n">
        <f aca="false">K20-K41-K42</f>
        <v>2218656.31458059</v>
      </c>
      <c r="L43" s="12" t="n">
        <f aca="false">L20-L41-L42</f>
        <v>2453319.3920416</v>
      </c>
    </row>
    <row r="44" customFormat="false" ht="15" hidden="false" customHeight="false" outlineLevel="0" collapsed="false">
      <c r="A44" s="7" t="s">
        <v>106</v>
      </c>
      <c r="B44" s="26" t="n">
        <f aca="false">B34</f>
        <v>73497.3</v>
      </c>
      <c r="C44" s="26" t="n">
        <f aca="false">C34</f>
        <v>0</v>
      </c>
      <c r="D44" s="26" t="n">
        <f aca="false">D34</f>
        <v>24590.307</v>
      </c>
      <c r="E44" s="26" t="n">
        <f aca="false">E34</f>
        <v>50800.3122825</v>
      </c>
      <c r="F44" s="26" t="n">
        <f aca="false">F34</f>
        <v>18888.479748675</v>
      </c>
      <c r="G44" s="26" t="n">
        <f aca="false">G34</f>
        <v>35139.7866824395</v>
      </c>
      <c r="H44" s="26" t="n">
        <f aca="false">H34</f>
        <v>0</v>
      </c>
      <c r="I44" s="26" t="n">
        <f aca="false">I34</f>
        <v>88341.5494583934</v>
      </c>
      <c r="J44" s="26" t="n">
        <f aca="false">J34</f>
        <v>18352.606338277</v>
      </c>
      <c r="K44" s="26" t="n">
        <f aca="false">K34</f>
        <v>48086.6962010262</v>
      </c>
      <c r="L44" s="26" t="n">
        <f aca="false">L34</f>
        <v>0</v>
      </c>
    </row>
    <row r="45" customFormat="false" ht="15" hidden="false" customHeight="false" outlineLevel="0" collapsed="false">
      <c r="A45" s="7" t="s">
        <v>107</v>
      </c>
      <c r="B45" s="26" t="n">
        <f aca="false">SUMIF(CapexYr,B$9,CapexAmt)</f>
        <v>1850000</v>
      </c>
      <c r="C45" s="26" t="n">
        <f aca="false">SUMIF(CapexYr,C$9,CapexAmt)</f>
        <v>940000</v>
      </c>
      <c r="D45" s="26" t="n">
        <f aca="false">SUMIF(CapexYr,D$9,CapexAmt)</f>
        <v>610000</v>
      </c>
      <c r="E45" s="26" t="n">
        <f aca="false">SUMIF(CapexYr,E$9,CapexAmt)</f>
        <v>0</v>
      </c>
      <c r="F45" s="26" t="n">
        <f aca="false">SUMIF(CapexYr,F$9,CapexAmt)</f>
        <v>0</v>
      </c>
      <c r="G45" s="26" t="n">
        <f aca="false">SUMIF(CapexYr,G$9,CapexAmt)</f>
        <v>0</v>
      </c>
      <c r="H45" s="26" t="n">
        <f aca="false">SUMIF(CapexYr,H$9,CapexAmt)</f>
        <v>0</v>
      </c>
      <c r="I45" s="26" t="n">
        <f aca="false">SUMIF(CapexYr,I$9,CapexAmt)</f>
        <v>0</v>
      </c>
      <c r="J45" s="26" t="n">
        <f aca="false">SUMIF(CapexYr,J$9,CapexAmt)</f>
        <v>0</v>
      </c>
      <c r="K45" s="26" t="n">
        <f aca="false">SUMIF(CapexYr,K$9,CapexAmt)</f>
        <v>0</v>
      </c>
      <c r="L45" s="26" t="n">
        <f aca="false">SUMIF(CapexYr,L$9,CapexAmt)</f>
        <v>0</v>
      </c>
    </row>
    <row r="46" customFormat="false" ht="15" hidden="false" customHeight="false" outlineLevel="0" collapsed="false">
      <c r="A46" s="11" t="s">
        <v>108</v>
      </c>
      <c r="B46" s="12" t="n">
        <f aca="false">B43-B44-B45</f>
        <v>-265863.292</v>
      </c>
      <c r="C46" s="12" t="n">
        <f aca="false">C43-C44-C45</f>
        <v>1076300.832</v>
      </c>
      <c r="D46" s="12" t="n">
        <f aca="false">D43-D44-D45</f>
        <v>1306933.15772</v>
      </c>
      <c r="E46" s="12" t="n">
        <f aca="false">E43-E44-E45</f>
        <v>1842136.6252437</v>
      </c>
      <c r="F46" s="12" t="n">
        <f aca="false">F43-F44-F45</f>
        <v>2061325.6421073</v>
      </c>
      <c r="G46" s="12" t="n">
        <f aca="false">G43-G44-G45</f>
        <v>2015412.43601717</v>
      </c>
      <c r="H46" s="12" t="n">
        <f aca="false">H43-H44-H45</f>
        <v>2222034.38170992</v>
      </c>
      <c r="I46" s="12" t="n">
        <f aca="false">I43-I44-I45</f>
        <v>1816235.08603718</v>
      </c>
      <c r="J46" s="12" t="n">
        <f aca="false">J43-J44-J45</f>
        <v>2256611.56349119</v>
      </c>
      <c r="K46" s="12" t="n">
        <f aca="false">K43-K44-K45</f>
        <v>2170569.61837956</v>
      </c>
      <c r="L46" s="12" t="n">
        <f aca="false">L43-L44-L45</f>
        <v>2453319.3920416</v>
      </c>
    </row>
    <row r="48" customFormat="false" ht="15" hidden="false" customHeight="false" outlineLevel="0" collapsed="false">
      <c r="A48" s="18"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6"/>
    <col collapsed="false" customWidth="true" hidden="false" outlineLevel="0" max="4" min="4" style="0" width="14"/>
    <col collapsed="false" customWidth="true" hidden="false" outlineLevel="0" max="5" min="5" style="0" width="74"/>
  </cols>
  <sheetData>
    <row r="1" customFormat="false" ht="24" hidden="false" customHeight="true" outlineLevel="0" collapsed="false">
      <c r="A1" s="1" t="s">
        <v>110</v>
      </c>
    </row>
    <row r="2" customFormat="false" ht="15" hidden="false" customHeight="false" outlineLevel="0" collapsed="false">
      <c r="A2" s="2" t="s">
        <v>111</v>
      </c>
    </row>
    <row r="3" customFormat="false" ht="15" hidden="false" customHeight="false" outlineLevel="0" collapsed="false">
      <c r="A3" s="3"/>
      <c r="B3" s="3"/>
      <c r="C3" s="3"/>
      <c r="D3" s="3"/>
      <c r="E3" s="3"/>
    </row>
    <row r="5" customFormat="false" ht="15" hidden="false" customHeight="false" outlineLevel="0" collapsed="false">
      <c r="A5" s="4" t="s">
        <v>112</v>
      </c>
      <c r="B5" s="6"/>
      <c r="C5" s="6"/>
      <c r="D5" s="6"/>
      <c r="E5" s="6"/>
    </row>
    <row r="7" customFormat="false" ht="30" hidden="false" customHeight="true" outlineLevel="0" collapsed="false">
      <c r="A7" s="16" t="s">
        <v>113</v>
      </c>
      <c r="B7" s="17" t="s">
        <v>114</v>
      </c>
      <c r="C7" s="17" t="s">
        <v>115</v>
      </c>
      <c r="D7" s="17" t="s">
        <v>116</v>
      </c>
      <c r="E7" s="17" t="s">
        <v>117</v>
      </c>
    </row>
    <row r="8" customFormat="false" ht="15" hidden="false" customHeight="false" outlineLevel="0" collapsed="false">
      <c r="A8" s="7" t="s">
        <v>118</v>
      </c>
      <c r="B8" s="21" t="n">
        <f aca="false">PassRent</f>
        <v>1575900</v>
      </c>
      <c r="C8" s="21" t="n">
        <f aca="false">Price</f>
        <v>26400000</v>
      </c>
      <c r="D8" s="23" t="n">
        <f aca="false">B8/C8</f>
        <v>0.0596931818181818</v>
      </c>
      <c r="E8" s="7" t="s">
        <v>119</v>
      </c>
    </row>
    <row r="9" customFormat="false" ht="15" hidden="false" customHeight="false" outlineLevel="0" collapsed="false">
      <c r="A9" s="7" t="s">
        <v>120</v>
      </c>
      <c r="B9" s="21" t="n">
        <f aca="false">PassRent</f>
        <v>1575900</v>
      </c>
      <c r="C9" s="21" t="n">
        <f aca="false">TotCost</f>
        <v>28195200</v>
      </c>
      <c r="D9" s="23" t="n">
        <f aca="false">B9/C9</f>
        <v>0.0558924923391216</v>
      </c>
      <c r="E9" s="7" t="s">
        <v>121</v>
      </c>
    </row>
    <row r="10" customFormat="false" ht="15" hidden="false" customHeight="false" outlineLevel="0" collapsed="false">
      <c r="A10" s="7" t="s">
        <v>122</v>
      </c>
      <c r="B10" s="21" t="n">
        <f aca="false">PassRent*(1-NonRec-MgmtFee)</f>
        <v>1538078.4</v>
      </c>
      <c r="C10" s="21" t="n">
        <f aca="false">TotCost</f>
        <v>28195200</v>
      </c>
      <c r="D10" s="23" t="n">
        <f aca="false">B10/C10</f>
        <v>0.0545510725229826</v>
      </c>
      <c r="E10" s="7" t="s">
        <v>123</v>
      </c>
    </row>
    <row r="11" customFormat="false" ht="15" hidden="false" customHeight="false" outlineLevel="0" collapsed="false">
      <c r="A11" s="7" t="s">
        <v>124</v>
      </c>
      <c r="B11" s="21" t="n">
        <f aca="false">PassRent*(1-NonRec-MgmtFee)</f>
        <v>1538078.4</v>
      </c>
      <c r="C11" s="21" t="n">
        <f aca="false">AllIn</f>
        <v>31595200</v>
      </c>
      <c r="D11" s="23" t="n">
        <f aca="false">B11/C11</f>
        <v>0.0486807616346787</v>
      </c>
      <c r="E11" s="7" t="s">
        <v>125</v>
      </c>
    </row>
    <row r="12" customFormat="false" ht="15" hidden="false" customHeight="false" outlineLevel="0" collapsed="false">
      <c r="A12" s="7" t="s">
        <v>126</v>
      </c>
      <c r="B12" s="21" t="n">
        <f aca="false">ErvTot</f>
        <v>2284000</v>
      </c>
      <c r="C12" s="21" t="n">
        <f aca="false">Price</f>
        <v>26400000</v>
      </c>
      <c r="D12" s="23" t="n">
        <f aca="false">B12/C12</f>
        <v>0.0865151515151515</v>
      </c>
      <c r="E12" s="7" t="s">
        <v>127</v>
      </c>
    </row>
    <row r="13" customFormat="false" ht="15" hidden="false" customHeight="false" outlineLevel="0" collapsed="false">
      <c r="A13" s="7" t="s">
        <v>128</v>
      </c>
      <c r="B13" s="21" t="n">
        <f aca="false">StabNOI</f>
        <v>2229184</v>
      </c>
      <c r="C13" s="21" t="n">
        <f aca="false">AllIn</f>
        <v>31595200</v>
      </c>
      <c r="D13" s="27" t="n">
        <f aca="false">B13/C13</f>
        <v>0.0705545146098141</v>
      </c>
      <c r="E13" s="7" t="s">
        <v>129</v>
      </c>
    </row>
    <row r="15" customFormat="false" ht="15" hidden="false" customHeight="false" outlineLevel="0" collapsed="false">
      <c r="A15" s="4" t="s">
        <v>130</v>
      </c>
      <c r="B15" s="6"/>
      <c r="C15" s="6"/>
      <c r="D15" s="6"/>
      <c r="E15" s="6"/>
    </row>
    <row r="17" customFormat="false" ht="15" hidden="false" customHeight="false" outlineLevel="0" collapsed="false">
      <c r="A17" s="7" t="s">
        <v>131</v>
      </c>
      <c r="B17" s="21" t="n">
        <f aca="false">ErvTot</f>
        <v>2284000</v>
      </c>
    </row>
    <row r="18" customFormat="false" ht="15" hidden="false" customHeight="false" outlineLevel="0" collapsed="false">
      <c r="A18" s="7" t="s">
        <v>132</v>
      </c>
      <c r="B18" s="21" t="n">
        <f aca="false">-ErvTot*NonRec</f>
        <v>-37686</v>
      </c>
    </row>
    <row r="19" customFormat="false" ht="15" hidden="false" customHeight="false" outlineLevel="0" collapsed="false">
      <c r="A19" s="7" t="s">
        <v>133</v>
      </c>
      <c r="B19" s="21" t="n">
        <f aca="false">-ErvTot*MgmtFee</f>
        <v>-17130</v>
      </c>
    </row>
    <row r="20" customFormat="false" ht="15" hidden="false" customHeight="false" outlineLevel="0" collapsed="false">
      <c r="A20" s="11" t="s">
        <v>134</v>
      </c>
      <c r="B20" s="12" t="n">
        <f aca="false">SUM(B17:B19)</f>
        <v>2229184</v>
      </c>
    </row>
    <row r="21" customFormat="false" ht="15" hidden="false" customHeight="false" outlineLevel="0" collapsed="false">
      <c r="A21" s="11" t="s">
        <v>135</v>
      </c>
      <c r="B21" s="12" t="n">
        <f aca="false">AllIn</f>
        <v>31595200</v>
      </c>
    </row>
    <row r="22" customFormat="false" ht="15" hidden="false" customHeight="false" outlineLevel="0" collapsed="false">
      <c r="A22" s="11" t="s">
        <v>136</v>
      </c>
      <c r="B22" s="27" t="n">
        <f aca="false">B20/B21</f>
        <v>0.0705545146098141</v>
      </c>
    </row>
    <row r="23" customFormat="false" ht="15" hidden="false" customHeight="false" outlineLevel="0" collapsed="false">
      <c r="A23" s="7" t="s">
        <v>31</v>
      </c>
      <c r="B23" s="23" t="n">
        <f aca="false">ExitYld</f>
        <v>0.0665</v>
      </c>
    </row>
    <row r="24" customFormat="false" ht="15" hidden="false" customHeight="false" outlineLevel="0" collapsed="false">
      <c r="A24" s="11" t="s">
        <v>137</v>
      </c>
      <c r="B24" s="15" t="n">
        <f aca="false">(B22-ExitYld)*100</f>
        <v>0.405451460981414</v>
      </c>
      <c r="E24" s="7" t="s">
        <v>138</v>
      </c>
    </row>
    <row r="25" customFormat="false" ht="15" hidden="false" customHeight="false" outlineLevel="0" collapsed="false">
      <c r="A25" s="11" t="s">
        <v>139</v>
      </c>
      <c r="B25" s="15" t="n">
        <f aca="false">(D8-D11)*100</f>
        <v>1.10124201835031</v>
      </c>
    </row>
    <row r="27" customFormat="false" ht="15" hidden="false" customHeight="false" outlineLevel="0" collapsed="false">
      <c r="A27" s="18" t="s">
        <v>140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12" min="2" style="0" width="14"/>
  </cols>
  <sheetData>
    <row r="1" customFormat="false" ht="24" hidden="false" customHeight="true" outlineLevel="0" collapsed="false">
      <c r="A1" s="1" t="s">
        <v>141</v>
      </c>
    </row>
    <row r="2" customFormat="false" ht="15" hidden="false" customHeight="false" outlineLevel="0" collapsed="false">
      <c r="A2" s="2" t="s">
        <v>142</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143</v>
      </c>
      <c r="B5" s="6"/>
      <c r="C5" s="6"/>
      <c r="D5" s="6"/>
      <c r="E5" s="6"/>
      <c r="F5" s="6"/>
      <c r="G5" s="6"/>
      <c r="H5" s="6"/>
      <c r="I5" s="6"/>
      <c r="J5" s="6"/>
      <c r="K5" s="6"/>
      <c r="L5" s="6"/>
    </row>
    <row r="7" customFormat="false" ht="15" hidden="false" customHeight="false" outlineLevel="0" collapsed="false">
      <c r="A7" s="7" t="s">
        <v>144</v>
      </c>
      <c r="B7" s="12" t="n">
        <f aca="false">'Income account'!L43</f>
        <v>2453319.3920416</v>
      </c>
    </row>
    <row r="8" customFormat="false" ht="15" hidden="false" customHeight="false" outlineLevel="0" collapsed="false">
      <c r="A8" s="7" t="s">
        <v>145</v>
      </c>
      <c r="B8" s="23" t="n">
        <f aca="false">ExitYld</f>
        <v>0.0665</v>
      </c>
    </row>
    <row r="9" customFormat="false" ht="15" hidden="false" customHeight="false" outlineLevel="0" collapsed="false">
      <c r="A9" s="11" t="s">
        <v>146</v>
      </c>
      <c r="B9" s="12" t="n">
        <f aca="false">ExitNOI/ExitYld</f>
        <v>36892020.9329564</v>
      </c>
    </row>
    <row r="10" customFormat="false" ht="15" hidden="false" customHeight="false" outlineLevel="0" collapsed="false">
      <c r="A10" s="7" t="s">
        <v>147</v>
      </c>
      <c r="B10" s="21" t="n">
        <f aca="false">GrossExit*SaleCost</f>
        <v>461150.261661954</v>
      </c>
    </row>
    <row r="11" customFormat="false" ht="15" hidden="false" customHeight="false" outlineLevel="0" collapsed="false">
      <c r="A11" s="11" t="s">
        <v>148</v>
      </c>
      <c r="B11" s="12" t="n">
        <f aca="false">GrossExit*(1-SaleCost)</f>
        <v>36430870.6712944</v>
      </c>
    </row>
    <row r="13" customFormat="false" ht="15" hidden="false" customHeight="false" outlineLevel="0" collapsed="false">
      <c r="A13" s="7" t="s">
        <v>149</v>
      </c>
      <c r="B13" s="21" t="n">
        <f aca="false">'Income account'!K43</f>
        <v>2218656.31458059</v>
      </c>
      <c r="D13" s="7" t="s">
        <v>150</v>
      </c>
    </row>
    <row r="14" customFormat="false" ht="15" hidden="false" customHeight="false" outlineLevel="0" collapsed="false">
      <c r="A14" s="7" t="s">
        <v>151</v>
      </c>
      <c r="B14" s="21" t="n">
        <f aca="false">B13/ExitYld</f>
        <v>33363252.8508359</v>
      </c>
    </row>
    <row r="15" customFormat="false" ht="15" hidden="false" customHeight="false" outlineLevel="0" collapsed="false">
      <c r="A15" s="11" t="s">
        <v>152</v>
      </c>
      <c r="B15" s="12" t="n">
        <f aca="false">B14-B9</f>
        <v>-3528768.08212042</v>
      </c>
    </row>
    <row r="17" customFormat="false" ht="15" hidden="false" customHeight="false" outlineLevel="0" collapsed="false">
      <c r="A17" s="4" t="s">
        <v>153</v>
      </c>
      <c r="B17" s="6"/>
      <c r="C17" s="6"/>
      <c r="D17" s="6"/>
      <c r="E17" s="6"/>
      <c r="F17" s="6"/>
      <c r="G17" s="6"/>
      <c r="H17" s="6"/>
      <c r="I17" s="6"/>
      <c r="J17" s="6"/>
      <c r="K17" s="6"/>
      <c r="L17" s="6"/>
    </row>
    <row r="19" customFormat="false" ht="15" hidden="false" customHeight="false" outlineLevel="0" collapsed="false">
      <c r="A19" s="24" t="s">
        <v>55</v>
      </c>
      <c r="B19" s="25" t="n">
        <v>0</v>
      </c>
      <c r="C19" s="25" t="n">
        <f aca="false">B19+1</f>
        <v>1</v>
      </c>
      <c r="D19" s="25" t="n">
        <f aca="false">C19+1</f>
        <v>2</v>
      </c>
      <c r="E19" s="25" t="n">
        <f aca="false">D19+1</f>
        <v>3</v>
      </c>
      <c r="F19" s="25" t="n">
        <f aca="false">E19+1</f>
        <v>4</v>
      </c>
      <c r="G19" s="25" t="n">
        <f aca="false">F19+1</f>
        <v>5</v>
      </c>
      <c r="H19" s="25" t="n">
        <f aca="false">G19+1</f>
        <v>6</v>
      </c>
      <c r="I19" s="25" t="n">
        <f aca="false">H19+1</f>
        <v>7</v>
      </c>
      <c r="J19" s="25" t="n">
        <f aca="false">I19+1</f>
        <v>8</v>
      </c>
      <c r="K19" s="25" t="n">
        <f aca="false">J19+1</f>
        <v>9</v>
      </c>
      <c r="L19" s="25" t="n">
        <f aca="false">K19+1</f>
        <v>10</v>
      </c>
    </row>
    <row r="20" customFormat="false" ht="15" hidden="false" customHeight="false" outlineLevel="0" collapsed="false">
      <c r="A20" s="7" t="s">
        <v>154</v>
      </c>
      <c r="B20" s="26" t="n">
        <f aca="false">-TotCost</f>
        <v>-28195200</v>
      </c>
    </row>
    <row r="21" customFormat="false" ht="15" hidden="false" customHeight="false" outlineLevel="0" collapsed="false">
      <c r="A21" s="7" t="s">
        <v>108</v>
      </c>
      <c r="B21" s="26" t="n">
        <f aca="false">0</f>
        <v>0</v>
      </c>
      <c r="C21" s="26" t="n">
        <f aca="false">'Income account'!B46</f>
        <v>-265863.292</v>
      </c>
      <c r="D21" s="26" t="n">
        <f aca="false">'Income account'!C46</f>
        <v>1076300.832</v>
      </c>
      <c r="E21" s="26" t="n">
        <f aca="false">'Income account'!D46</f>
        <v>1306933.15772</v>
      </c>
      <c r="F21" s="26" t="n">
        <f aca="false">'Income account'!E46</f>
        <v>1842136.6252437</v>
      </c>
      <c r="G21" s="26" t="n">
        <f aca="false">'Income account'!F46</f>
        <v>2061325.6421073</v>
      </c>
      <c r="H21" s="26" t="n">
        <f aca="false">'Income account'!G46</f>
        <v>2015412.43601717</v>
      </c>
      <c r="I21" s="26" t="n">
        <f aca="false">'Income account'!H46</f>
        <v>2222034.38170992</v>
      </c>
      <c r="J21" s="26" t="n">
        <f aca="false">'Income account'!I46</f>
        <v>1816235.08603718</v>
      </c>
      <c r="K21" s="26" t="n">
        <f aca="false">'Income account'!J46</f>
        <v>2256611.56349119</v>
      </c>
      <c r="L21" s="26" t="n">
        <f aca="false">'Income account'!K46</f>
        <v>2170569.61837956</v>
      </c>
    </row>
    <row r="22" customFormat="false" ht="15" hidden="false" customHeight="false" outlineLevel="0" collapsed="false">
      <c r="A22" s="7" t="s">
        <v>155</v>
      </c>
      <c r="B22" s="26" t="n">
        <f aca="false">0</f>
        <v>0</v>
      </c>
      <c r="C22" s="26" t="n">
        <f aca="false">-AMFee</f>
        <v>-211464</v>
      </c>
      <c r="D22" s="26" t="n">
        <f aca="false">-AMFee</f>
        <v>-211464</v>
      </c>
      <c r="E22" s="26" t="n">
        <f aca="false">-AMFee</f>
        <v>-211464</v>
      </c>
      <c r="F22" s="26" t="n">
        <f aca="false">-AMFee</f>
        <v>-211464</v>
      </c>
      <c r="G22" s="26" t="n">
        <f aca="false">-AMFee</f>
        <v>-211464</v>
      </c>
      <c r="H22" s="26" t="n">
        <f aca="false">-AMFee</f>
        <v>-211464</v>
      </c>
      <c r="I22" s="26" t="n">
        <f aca="false">-AMFee</f>
        <v>-211464</v>
      </c>
      <c r="J22" s="26" t="n">
        <f aca="false">-AMFee</f>
        <v>-211464</v>
      </c>
      <c r="K22" s="26" t="n">
        <f aca="false">-AMFee</f>
        <v>-211464</v>
      </c>
      <c r="L22" s="26" t="n">
        <f aca="false">-AMFee</f>
        <v>-211464</v>
      </c>
    </row>
    <row r="23" customFormat="false" ht="15" hidden="false" customHeight="false" outlineLevel="0" collapsed="false">
      <c r="A23" s="7" t="s">
        <v>148</v>
      </c>
      <c r="B23" s="21" t="n">
        <f aca="false">0</f>
        <v>0</v>
      </c>
      <c r="C23" s="21" t="n">
        <f aca="false">0</f>
        <v>0</v>
      </c>
      <c r="D23" s="21" t="n">
        <f aca="false">0</f>
        <v>0</v>
      </c>
      <c r="E23" s="21" t="n">
        <f aca="false">0</f>
        <v>0</v>
      </c>
      <c r="F23" s="21" t="n">
        <f aca="false">0</f>
        <v>0</v>
      </c>
      <c r="G23" s="21" t="n">
        <f aca="false">0</f>
        <v>0</v>
      </c>
      <c r="H23" s="21" t="n">
        <f aca="false">0</f>
        <v>0</v>
      </c>
      <c r="I23" s="21" t="n">
        <f aca="false">0</f>
        <v>0</v>
      </c>
      <c r="J23" s="21" t="n">
        <f aca="false">0</f>
        <v>0</v>
      </c>
      <c r="K23" s="21" t="n">
        <f aca="false">0</f>
        <v>0</v>
      </c>
      <c r="L23" s="21" t="n">
        <f aca="false">NetExit</f>
        <v>36430870.6712944</v>
      </c>
    </row>
    <row r="24" customFormat="false" ht="15" hidden="false" customHeight="false" outlineLevel="0" collapsed="false">
      <c r="A24" s="11" t="s">
        <v>156</v>
      </c>
      <c r="B24" s="12" t="n">
        <f aca="false">SUM(B20:B23)</f>
        <v>-28195200</v>
      </c>
      <c r="C24" s="12" t="n">
        <f aca="false">SUM(C20:C23)</f>
        <v>-477327.292</v>
      </c>
      <c r="D24" s="12" t="n">
        <f aca="false">SUM(D20:D23)</f>
        <v>864836.832</v>
      </c>
      <c r="E24" s="12" t="n">
        <f aca="false">SUM(E20:E23)</f>
        <v>1095469.15772</v>
      </c>
      <c r="F24" s="12" t="n">
        <f aca="false">SUM(F20:F23)</f>
        <v>1630672.6252437</v>
      </c>
      <c r="G24" s="12" t="n">
        <f aca="false">SUM(G20:G23)</f>
        <v>1849861.6421073</v>
      </c>
      <c r="H24" s="12" t="n">
        <f aca="false">SUM(H20:H23)</f>
        <v>1803948.43601717</v>
      </c>
      <c r="I24" s="12" t="n">
        <f aca="false">SUM(I20:I23)</f>
        <v>2010570.38170992</v>
      </c>
      <c r="J24" s="12" t="n">
        <f aca="false">SUM(J20:J23)</f>
        <v>1604771.08603718</v>
      </c>
      <c r="K24" s="12" t="n">
        <f aca="false">SUM(K20:K23)</f>
        <v>2045147.56349119</v>
      </c>
      <c r="L24" s="12" t="n">
        <f aca="false">SUM(L20:L23)</f>
        <v>38389976.289674</v>
      </c>
    </row>
    <row r="25" customFormat="false" ht="15" hidden="false" customHeight="false" outlineLevel="0" collapsed="false">
      <c r="A25" s="7" t="s">
        <v>157</v>
      </c>
      <c r="B25" s="26" t="n">
        <f aca="false">-ArrFee</f>
        <v>-159720</v>
      </c>
      <c r="C25" s="26" t="n">
        <f aca="false">0</f>
        <v>0</v>
      </c>
      <c r="D25" s="26" t="n">
        <f aca="false">0</f>
        <v>0</v>
      </c>
      <c r="E25" s="26" t="n">
        <f aca="false">0</f>
        <v>0</v>
      </c>
      <c r="F25" s="26" t="n">
        <f aca="false">0</f>
        <v>0</v>
      </c>
      <c r="G25" s="26" t="n">
        <f aca="false">0</f>
        <v>0</v>
      </c>
      <c r="H25" s="26" t="n">
        <f aca="false">0</f>
        <v>0</v>
      </c>
      <c r="I25" s="26" t="n">
        <f aca="false">0</f>
        <v>0</v>
      </c>
      <c r="J25" s="26" t="n">
        <f aca="false">0</f>
        <v>0</v>
      </c>
      <c r="K25" s="26" t="n">
        <f aca="false">0</f>
        <v>0</v>
      </c>
      <c r="L25" s="26" t="n">
        <f aca="false">0</f>
        <v>0</v>
      </c>
    </row>
    <row r="26" customFormat="false" ht="15" hidden="false" customHeight="false" outlineLevel="0" collapsed="false">
      <c r="A26" s="7" t="s">
        <v>158</v>
      </c>
      <c r="B26" s="21" t="n">
        <f aca="false">Debt</f>
        <v>14520000</v>
      </c>
      <c r="C26" s="21" t="n">
        <f aca="false">0</f>
        <v>0</v>
      </c>
      <c r="D26" s="21" t="n">
        <f aca="false">0</f>
        <v>0</v>
      </c>
      <c r="E26" s="21" t="n">
        <f aca="false">0</f>
        <v>0</v>
      </c>
      <c r="F26" s="21" t="n">
        <f aca="false">0</f>
        <v>0</v>
      </c>
      <c r="G26" s="21" t="n">
        <f aca="false">0</f>
        <v>0</v>
      </c>
      <c r="H26" s="21" t="n">
        <f aca="false">0</f>
        <v>0</v>
      </c>
      <c r="I26" s="21" t="n">
        <f aca="false">0</f>
        <v>0</v>
      </c>
      <c r="J26" s="21" t="n">
        <f aca="false">0</f>
        <v>0</v>
      </c>
      <c r="K26" s="21" t="n">
        <f aca="false">0</f>
        <v>0</v>
      </c>
      <c r="L26" s="21" t="n">
        <f aca="false">-Debt</f>
        <v>-14520000</v>
      </c>
    </row>
    <row r="27" customFormat="false" ht="15" hidden="false" customHeight="false" outlineLevel="0" collapsed="false">
      <c r="A27" s="7" t="s">
        <v>159</v>
      </c>
      <c r="B27" s="26" t="n">
        <f aca="false">0</f>
        <v>0</v>
      </c>
      <c r="C27" s="26" t="n">
        <f aca="false">-Interest</f>
        <v>-631620</v>
      </c>
      <c r="D27" s="26" t="n">
        <f aca="false">-Interest</f>
        <v>-631620</v>
      </c>
      <c r="E27" s="26" t="n">
        <f aca="false">-Interest</f>
        <v>-631620</v>
      </c>
      <c r="F27" s="26" t="n">
        <f aca="false">-Interest</f>
        <v>-631620</v>
      </c>
      <c r="G27" s="26" t="n">
        <f aca="false">-Interest</f>
        <v>-631620</v>
      </c>
      <c r="H27" s="26" t="n">
        <f aca="false">-Interest</f>
        <v>-631620</v>
      </c>
      <c r="I27" s="26" t="n">
        <f aca="false">-Interest</f>
        <v>-631620</v>
      </c>
      <c r="J27" s="26" t="n">
        <f aca="false">-Interest</f>
        <v>-631620</v>
      </c>
      <c r="K27" s="26" t="n">
        <f aca="false">-Interest</f>
        <v>-631620</v>
      </c>
      <c r="L27" s="26" t="n">
        <f aca="false">-Interest</f>
        <v>-631620</v>
      </c>
    </row>
    <row r="28" customFormat="false" ht="15" hidden="false" customHeight="false" outlineLevel="0" collapsed="false">
      <c r="A28" s="11" t="s">
        <v>160</v>
      </c>
      <c r="B28" s="12" t="n">
        <f aca="false">B24+B25+B26+B27</f>
        <v>-13834920</v>
      </c>
      <c r="C28" s="12" t="n">
        <f aca="false">C24+C25+C26+C27</f>
        <v>-1108947.292</v>
      </c>
      <c r="D28" s="12" t="n">
        <f aca="false">D24+D25+D26+D27</f>
        <v>233216.832</v>
      </c>
      <c r="E28" s="12" t="n">
        <f aca="false">E24+E25+E26+E27</f>
        <v>463849.15772</v>
      </c>
      <c r="F28" s="12" t="n">
        <f aca="false">F24+F25+F26+F27</f>
        <v>999052.6252437</v>
      </c>
      <c r="G28" s="12" t="n">
        <f aca="false">G24+G25+G26+G27</f>
        <v>1218241.6421073</v>
      </c>
      <c r="H28" s="12" t="n">
        <f aca="false">H24+H25+H26+H27</f>
        <v>1172328.43601717</v>
      </c>
      <c r="I28" s="12" t="n">
        <f aca="false">I24+I25+I26+I27</f>
        <v>1378950.38170992</v>
      </c>
      <c r="J28" s="12" t="n">
        <f aca="false">J24+J25+J26+J27</f>
        <v>973151.086037178</v>
      </c>
      <c r="K28" s="12" t="n">
        <f aca="false">K24+K25+K26+K27</f>
        <v>1413527.56349119</v>
      </c>
      <c r="L28" s="12" t="n">
        <f aca="false">L24+L25+L26+L27</f>
        <v>23238356.289674</v>
      </c>
    </row>
    <row r="30" customFormat="false" ht="15" hidden="false" customHeight="false" outlineLevel="0" collapsed="false">
      <c r="A30" s="4" t="s">
        <v>161</v>
      </c>
      <c r="B30" s="6"/>
      <c r="C30" s="6"/>
      <c r="D30" s="6"/>
      <c r="E30" s="6"/>
      <c r="F30" s="6"/>
      <c r="G30" s="6"/>
      <c r="H30" s="6"/>
      <c r="I30" s="6"/>
      <c r="J30" s="6"/>
      <c r="K30" s="6"/>
      <c r="L30" s="6"/>
    </row>
    <row r="32" customFormat="false" ht="15" hidden="false" customHeight="false" outlineLevel="0" collapsed="false">
      <c r="A32" s="11" t="s">
        <v>162</v>
      </c>
      <c r="B32" s="27" t="n">
        <f aca="false">IRR(PropFlows)</f>
        <v>0.0682054638348641</v>
      </c>
      <c r="D32" s="7" t="s">
        <v>163</v>
      </c>
    </row>
    <row r="33" customFormat="false" ht="15" hidden="false" customHeight="false" outlineLevel="0" collapsed="false">
      <c r="A33" s="11" t="s">
        <v>164</v>
      </c>
      <c r="B33" s="27" t="n">
        <f aca="false">IRR(EqFlows)</f>
        <v>0.0866467604777335</v>
      </c>
    </row>
    <row r="34" customFormat="false" ht="15" hidden="false" customHeight="false" outlineLevel="0" collapsed="false">
      <c r="A34" s="11" t="s">
        <v>165</v>
      </c>
      <c r="B34" s="28" t="n">
        <f aca="false">SUM(C28:L28)/Equity0</f>
        <v>2.16710517458723</v>
      </c>
    </row>
    <row r="35" customFormat="false" ht="15" hidden="false" customHeight="false" outlineLevel="0" collapsed="false">
      <c r="A35" s="7" t="s">
        <v>166</v>
      </c>
      <c r="B35" s="21" t="n">
        <f aca="false">SUM(EqFlows)</f>
        <v>16146806.7220004</v>
      </c>
    </row>
    <row r="36" customFormat="false" ht="15" hidden="false" customHeight="false" outlineLevel="0" collapsed="false">
      <c r="A36" s="7" t="s">
        <v>167</v>
      </c>
      <c r="B36" s="21" t="n">
        <f aca="false">-SUMIF(EqFlows,"&lt;0")</f>
        <v>14943867.292</v>
      </c>
      <c r="D36" s="7" t="s">
        <v>168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5"/>
    <col collapsed="false" customWidth="true" hidden="false" outlineLevel="0" max="3" min="2" style="0" width="16"/>
    <col collapsed="false" customWidth="true" hidden="false" outlineLevel="0" max="4" min="4" style="0" width="18"/>
    <col collapsed="false" customWidth="true" hidden="false" outlineLevel="0" max="6" min="5" style="0" width="14"/>
    <col collapsed="false" customWidth="true" hidden="false" outlineLevel="0" max="7" min="7" style="0" width="13"/>
    <col collapsed="false" customWidth="true" hidden="false" outlineLevel="0" max="8" min="8" style="0" width="15"/>
    <col collapsed="false" customWidth="true" hidden="false" outlineLevel="0" max="13" min="9" style="0" width="14"/>
  </cols>
  <sheetData>
    <row r="1" customFormat="false" ht="24" hidden="false" customHeight="true" outlineLevel="0" collapsed="false">
      <c r="A1" s="1" t="s">
        <v>169</v>
      </c>
    </row>
    <row r="2" customFormat="false" ht="15" hidden="false" customHeight="false" outlineLevel="0" collapsed="false">
      <c r="A2" s="2" t="s">
        <v>170</v>
      </c>
    </row>
    <row r="3" customFormat="false" ht="15" hidden="false" customHeight="false" outlineLevel="0" collapsed="false">
      <c r="A3" s="3"/>
      <c r="B3" s="3"/>
      <c r="C3" s="3"/>
      <c r="D3" s="3"/>
      <c r="E3" s="3"/>
      <c r="F3" s="3"/>
      <c r="G3" s="3"/>
      <c r="H3" s="3"/>
      <c r="I3" s="3"/>
    </row>
    <row r="5" customFormat="false" ht="15" hidden="false" customHeight="false" outlineLevel="0" collapsed="false">
      <c r="A5" s="18" t="s">
        <v>171</v>
      </c>
    </row>
    <row r="7" customFormat="false" ht="30" hidden="false" customHeight="true" outlineLevel="0" collapsed="false">
      <c r="A7" s="16" t="s">
        <v>145</v>
      </c>
      <c r="B7" s="17" t="s">
        <v>172</v>
      </c>
      <c r="C7" s="17" t="s">
        <v>173</v>
      </c>
      <c r="D7" s="17" t="s">
        <v>174</v>
      </c>
      <c r="E7" s="17" t="s">
        <v>175</v>
      </c>
      <c r="F7" s="17" t="s">
        <v>176</v>
      </c>
      <c r="G7" s="17" t="s">
        <v>165</v>
      </c>
      <c r="H7" s="17" t="s">
        <v>177</v>
      </c>
      <c r="I7" s="17" t="s">
        <v>178</v>
      </c>
      <c r="J7" s="17" t="s">
        <v>179</v>
      </c>
      <c r="K7" s="17" t="s">
        <v>180</v>
      </c>
      <c r="L7" s="17" t="s">
        <v>181</v>
      </c>
      <c r="M7" s="17" t="s">
        <v>182</v>
      </c>
    </row>
    <row r="8" customFormat="false" ht="15" hidden="false" customHeight="false" outlineLevel="0" collapsed="false">
      <c r="A8" s="10" t="n">
        <v>0.055</v>
      </c>
      <c r="B8" s="21" t="n">
        <f aca="false">ExitNOI/$A8</f>
        <v>44605807.1280291</v>
      </c>
      <c r="C8" s="21" t="n">
        <f aca="false">B8*(1-SaleCost)</f>
        <v>44048234.5389287</v>
      </c>
      <c r="D8" s="21" t="n">
        <f aca="false">'Cash flows'!L28+C8-NetExit</f>
        <v>30855720.1573082</v>
      </c>
      <c r="E8" s="23" t="n">
        <f aca="false">IRR(B27:L27)</f>
        <v>0.084002874335512</v>
      </c>
      <c r="F8" s="23" t="n">
        <f aca="false">IRR(B46:L46)</f>
        <v>0.111764922087414</v>
      </c>
      <c r="G8" s="29" t="n">
        <f aca="false">SUM(C46:L46)/Equity0</f>
        <v>2.71769483232536</v>
      </c>
      <c r="H8" s="12" t="n">
        <f aca="false">M8+(L8-M8)*Promote</f>
        <v>4752834.11792694</v>
      </c>
      <c r="I8" s="23" t="n">
        <f aca="false">IRR(B65:L65)</f>
        <v>0.0967517542531848</v>
      </c>
      <c r="J8" s="21" t="n">
        <f aca="false">MIN(D8,Waterfall!K23+(Waterfall!K22+Waterfall!K23)*Pref)</f>
        <v>6545773.03513518</v>
      </c>
      <c r="K8" s="21" t="n">
        <f aca="false">MIN(D8-J8,Waterfall!K22)</f>
        <v>14943867.292</v>
      </c>
      <c r="L8" s="21" t="n">
        <f aca="false">D8-J8-K8</f>
        <v>9366079.83017307</v>
      </c>
      <c r="M8" s="21" t="n">
        <f aca="false">MIN(L8,MAX(0,(Waterfall!K16+J8)*CatchUp-Waterfall!K20))</f>
        <v>3599522.68986541</v>
      </c>
    </row>
    <row r="9" customFormat="false" ht="15" hidden="false" customHeight="false" outlineLevel="0" collapsed="false">
      <c r="A9" s="10" t="n">
        <v>0.0575</v>
      </c>
      <c r="B9" s="21" t="n">
        <f aca="false">ExitNOI/$A9</f>
        <v>42666424.2094191</v>
      </c>
      <c r="C9" s="21" t="n">
        <f aca="false">B9*(1-SaleCost)</f>
        <v>42133093.9068014</v>
      </c>
      <c r="D9" s="21" t="n">
        <f aca="false">'Cash flows'!L28+C9-NetExit</f>
        <v>28940579.5251809</v>
      </c>
      <c r="E9" s="23" t="n">
        <f aca="false">IRR(B28:L28)</f>
        <v>0.0802365946367005</v>
      </c>
      <c r="F9" s="23" t="n">
        <f aca="false">IRR(B47:L47)</f>
        <v>0.105948885583578</v>
      </c>
      <c r="G9" s="29" t="n">
        <f aca="false">SUM(C47:L47)/Equity0</f>
        <v>2.57926680873524</v>
      </c>
      <c r="H9" s="12" t="n">
        <f aca="false">M9+(L9-M9)*Promote</f>
        <v>4369805.99150148</v>
      </c>
      <c r="I9" s="23" t="n">
        <f aca="false">IRR(B66:L66)</f>
        <v>0.0914595289624406</v>
      </c>
      <c r="J9" s="21" t="n">
        <f aca="false">MIN(D9,Waterfall!K23+(Waterfall!K22+Waterfall!K23)*Pref)</f>
        <v>6545773.03513518</v>
      </c>
      <c r="K9" s="21" t="n">
        <f aca="false">MIN(D9-J9,Waterfall!K22)</f>
        <v>14943867.292</v>
      </c>
      <c r="L9" s="21" t="n">
        <f aca="false">D9-J9-K9</f>
        <v>7450939.19804574</v>
      </c>
      <c r="M9" s="21" t="n">
        <f aca="false">MIN(L9,MAX(0,(Waterfall!K16+J9)*CatchUp-Waterfall!K20))</f>
        <v>3599522.68986541</v>
      </c>
    </row>
    <row r="10" customFormat="false" ht="15" hidden="false" customHeight="false" outlineLevel="0" collapsed="false">
      <c r="A10" s="10" t="n">
        <v>0.06</v>
      </c>
      <c r="B10" s="21" t="n">
        <f aca="false">ExitNOI/$A10</f>
        <v>40888656.5340266</v>
      </c>
      <c r="C10" s="21" t="n">
        <f aca="false">B10*(1-SaleCost)</f>
        <v>40377548.3273513</v>
      </c>
      <c r="D10" s="21" t="n">
        <f aca="false">'Cash flows'!L28+C10-NetExit</f>
        <v>27185033.9457309</v>
      </c>
      <c r="E10" s="23" t="n">
        <f aca="false">IRR(B29:L29)</f>
        <v>0.0766692553059632</v>
      </c>
      <c r="F10" s="23" t="n">
        <f aca="false">IRR(B48:L48)</f>
        <v>0.100346729209083</v>
      </c>
      <c r="G10" s="29" t="n">
        <f aca="false">SUM(C48:L48)/Equity0</f>
        <v>2.45237445377764</v>
      </c>
      <c r="H10" s="12" t="n">
        <f aca="false">M10+(L10-M10)*Promote</f>
        <v>4018696.87561147</v>
      </c>
      <c r="I10" s="23" t="n">
        <f aca="false">IRR(B67:L67)</f>
        <v>0.0863806682868644</v>
      </c>
      <c r="J10" s="21" t="n">
        <f aca="false">MIN(D10,Waterfall!K23+(Waterfall!K22+Waterfall!K23)*Pref)</f>
        <v>6545773.03513518</v>
      </c>
      <c r="K10" s="21" t="n">
        <f aca="false">MIN(D10-J10,Waterfall!K22)</f>
        <v>14943867.292</v>
      </c>
      <c r="L10" s="21" t="n">
        <f aca="false">D10-J10-K10</f>
        <v>5695393.61859569</v>
      </c>
      <c r="M10" s="21" t="n">
        <f aca="false">MIN(L10,MAX(0,(Waterfall!K16+J10)*CatchUp-Waterfall!K20))</f>
        <v>3599522.68986541</v>
      </c>
    </row>
    <row r="11" customFormat="false" ht="15" hidden="false" customHeight="false" outlineLevel="0" collapsed="false">
      <c r="A11" s="10" t="n">
        <v>0.0625</v>
      </c>
      <c r="B11" s="21" t="n">
        <f aca="false">ExitNOI/$A11</f>
        <v>39253110.2726656</v>
      </c>
      <c r="C11" s="21" t="n">
        <f aca="false">B11*(1-SaleCost)</f>
        <v>38762446.3942572</v>
      </c>
      <c r="D11" s="21" t="n">
        <f aca="false">'Cash flows'!L28+C11-NetExit</f>
        <v>25569932.0126368</v>
      </c>
      <c r="E11" s="23" t="n">
        <f aca="false">IRR(B30:L30)</f>
        <v>0.0732833237306224</v>
      </c>
      <c r="F11" s="23" t="n">
        <f aca="false">IRR(B49:L49)</f>
        <v>0.0949386740270208</v>
      </c>
      <c r="G11" s="29" t="n">
        <f aca="false">SUM(C49:L49)/Equity0</f>
        <v>2.33563348721664</v>
      </c>
      <c r="H11" s="12" t="n">
        <f aca="false">M11+(L11-M11)*Promote</f>
        <v>3695676.48899265</v>
      </c>
      <c r="I11" s="23" t="n">
        <f aca="false">IRR(B68:L68)</f>
        <v>0.0814961873018326</v>
      </c>
      <c r="J11" s="21" t="n">
        <f aca="false">MIN(D11,Waterfall!K23+(Waterfall!K22+Waterfall!K23)*Pref)</f>
        <v>6545773.03513518</v>
      </c>
      <c r="K11" s="21" t="n">
        <f aca="false">MIN(D11-J11,Waterfall!K22)</f>
        <v>14943867.292</v>
      </c>
      <c r="L11" s="21" t="n">
        <f aca="false">D11-J11-K11</f>
        <v>4080291.68550163</v>
      </c>
      <c r="M11" s="21" t="n">
        <f aca="false">MIN(L11,MAX(0,(Waterfall!K16+J11)*CatchUp-Waterfall!K20))</f>
        <v>3599522.68986541</v>
      </c>
    </row>
    <row r="12" customFormat="false" ht="15" hidden="false" customHeight="false" outlineLevel="0" collapsed="false">
      <c r="A12" s="10" t="n">
        <v>0.065</v>
      </c>
      <c r="B12" s="21" t="n">
        <f aca="false">ExitNOI/$A12</f>
        <v>37743375.2621784</v>
      </c>
      <c r="C12" s="21" t="n">
        <f aca="false">B12*(1-SaleCost)</f>
        <v>37271583.0714012</v>
      </c>
      <c r="D12" s="21" t="n">
        <f aca="false">'Cash flows'!L28+C12-NetExit</f>
        <v>24079068.6897808</v>
      </c>
      <c r="E12" s="23" t="n">
        <f aca="false">IRR(B31:L31)</f>
        <v>0.0700634205599842</v>
      </c>
      <c r="F12" s="23" t="n">
        <f aca="false">IRR(B50:L50)</f>
        <v>0.0897072893590589</v>
      </c>
      <c r="G12" s="29" t="n">
        <f aca="false">SUM(C50:L50)/Equity0</f>
        <v>2.22787259500649</v>
      </c>
      <c r="H12" s="12" t="n">
        <f aca="false">M12+(L12-M12)*Promote</f>
        <v>2589428.36264558</v>
      </c>
      <c r="I12" s="23" t="n">
        <f aca="false">IRR(B69:L69)</f>
        <v>0.08</v>
      </c>
      <c r="J12" s="21" t="n">
        <f aca="false">MIN(D12,Waterfall!K23+(Waterfall!K22+Waterfall!K23)*Pref)</f>
        <v>6545773.03513518</v>
      </c>
      <c r="K12" s="21" t="n">
        <f aca="false">MIN(D12-J12,Waterfall!K22)</f>
        <v>14943867.292</v>
      </c>
      <c r="L12" s="21" t="n">
        <f aca="false">D12-J12-K12</f>
        <v>2589428.36264558</v>
      </c>
      <c r="M12" s="21" t="n">
        <f aca="false">MIN(L12,MAX(0,(Waterfall!K16+J12)*CatchUp-Waterfall!K20))</f>
        <v>2589428.36264558</v>
      </c>
    </row>
    <row r="13" customFormat="false" ht="15" hidden="false" customHeight="false" outlineLevel="0" collapsed="false">
      <c r="A13" s="10" t="n">
        <v>0.0665</v>
      </c>
      <c r="B13" s="21" t="n">
        <f aca="false">ExitNOI/$A13</f>
        <v>36892020.9329564</v>
      </c>
      <c r="C13" s="21" t="n">
        <f aca="false">B13*(1-SaleCost)</f>
        <v>36430870.6712944</v>
      </c>
      <c r="D13" s="21" t="n">
        <f aca="false">'Cash flows'!L28+C13-NetExit</f>
        <v>23238356.289674</v>
      </c>
      <c r="E13" s="23" t="n">
        <f aca="false">IRR(B32:L32)</f>
        <v>0.0682054638348641</v>
      </c>
      <c r="F13" s="23" t="n">
        <f aca="false">IRR(B51:L51)</f>
        <v>0.0866467604777335</v>
      </c>
      <c r="G13" s="29" t="n">
        <f aca="false">SUM(C51:L51)/Equity0</f>
        <v>2.16710517458723</v>
      </c>
      <c r="H13" s="12" t="n">
        <f aca="false">M13+(L13-M13)*Promote</f>
        <v>1748715.96253878</v>
      </c>
      <c r="I13" s="23" t="n">
        <f aca="false">IRR(B70:L70)</f>
        <v>0.08</v>
      </c>
      <c r="J13" s="21" t="n">
        <f aca="false">MIN(D13,Waterfall!K23+(Waterfall!K22+Waterfall!K23)*Pref)</f>
        <v>6545773.03513518</v>
      </c>
      <c r="K13" s="21" t="n">
        <f aca="false">MIN(D13-J13,Waterfall!K22)</f>
        <v>14943867.292</v>
      </c>
      <c r="L13" s="21" t="n">
        <f aca="false">D13-J13-K13</f>
        <v>1748715.96253878</v>
      </c>
      <c r="M13" s="21" t="n">
        <f aca="false">MIN(L13,MAX(0,(Waterfall!K16+J13)*CatchUp-Waterfall!K20))</f>
        <v>1748715.96253878</v>
      </c>
    </row>
    <row r="14" customFormat="false" ht="15" hidden="false" customHeight="false" outlineLevel="0" collapsed="false">
      <c r="A14" s="10" t="n">
        <v>0.07</v>
      </c>
      <c r="B14" s="21" t="n">
        <f aca="false">ExitNOI/$A14</f>
        <v>35047419.8863085</v>
      </c>
      <c r="C14" s="21" t="n">
        <f aca="false">B14*(1-SaleCost)</f>
        <v>34609327.1377297</v>
      </c>
      <c r="D14" s="21" t="n">
        <f aca="false">'Cash flows'!L28+C14-NetExit</f>
        <v>21416812.7561092</v>
      </c>
      <c r="E14" s="23" t="n">
        <f aca="false">IRR(B33:L33)</f>
        <v>0.0640690016319404</v>
      </c>
      <c r="F14" s="23" t="n">
        <f aca="false">IRR(B52:L52)</f>
        <v>0.0797144174655011</v>
      </c>
      <c r="G14" s="29" t="n">
        <f aca="false">SUM(C52:L52)/Equity0</f>
        <v>2.03544243034551</v>
      </c>
      <c r="H14" s="12" t="n">
        <f aca="false">M14+(L14-M14)*Promote</f>
        <v>0</v>
      </c>
      <c r="I14" s="23" t="n">
        <f aca="false">IRR(B71:L71)</f>
        <v>0.0797144174655011</v>
      </c>
      <c r="J14" s="21" t="n">
        <f aca="false">MIN(D14,Waterfall!K23+(Waterfall!K22+Waterfall!K23)*Pref)</f>
        <v>6545773.03513518</v>
      </c>
      <c r="K14" s="21" t="n">
        <f aca="false">MIN(D14-J14,Waterfall!K22)</f>
        <v>14871039.7209741</v>
      </c>
      <c r="L14" s="21" t="n">
        <f aca="false">D14-J14-K14</f>
        <v>0</v>
      </c>
      <c r="M14" s="21" t="n">
        <f aca="false">MIN(L14,MAX(0,(Waterfall!K16+J14)*CatchUp-Waterfall!K20))</f>
        <v>0</v>
      </c>
    </row>
    <row r="15" customFormat="false" ht="15" hidden="false" customHeight="false" outlineLevel="0" collapsed="false">
      <c r="A15" s="10" t="n">
        <v>0.0725</v>
      </c>
      <c r="B15" s="21" t="n">
        <f aca="false">ExitNOI/$A15</f>
        <v>33838888.166091</v>
      </c>
      <c r="C15" s="21" t="n">
        <f aca="false">B15*(1-SaleCost)</f>
        <v>33415902.0640149</v>
      </c>
      <c r="D15" s="21" t="n">
        <f aca="false">'Cash flows'!L28+C15-NetExit</f>
        <v>20223387.6823944</v>
      </c>
      <c r="E15" s="23" t="n">
        <f aca="false">IRR(B34:L34)</f>
        <v>0.0612717780438837</v>
      </c>
      <c r="F15" s="23" t="n">
        <f aca="false">IRR(B53:L53)</f>
        <v>0.0749268338809967</v>
      </c>
      <c r="G15" s="29" t="n">
        <f aca="false">SUM(C53:L53)/Equity0</f>
        <v>1.94918063239404</v>
      </c>
      <c r="H15" s="12" t="n">
        <f aca="false">M15+(L15-M15)*Promote</f>
        <v>0</v>
      </c>
      <c r="I15" s="23" t="n">
        <f aca="false">IRR(B72:L72)</f>
        <v>0.0749268338809967</v>
      </c>
      <c r="J15" s="21" t="n">
        <f aca="false">MIN(D15,Waterfall!K23+(Waterfall!K22+Waterfall!K23)*Pref)</f>
        <v>6545773.03513518</v>
      </c>
      <c r="K15" s="21" t="n">
        <f aca="false">MIN(D15-J15,Waterfall!K22)</f>
        <v>13677614.6472593</v>
      </c>
      <c r="L15" s="21" t="n">
        <f aca="false">D15-J15-K15</f>
        <v>0</v>
      </c>
      <c r="M15" s="21" t="n">
        <f aca="false">MIN(L15,MAX(0,(Waterfall!K16+J15)*CatchUp-Waterfall!K20))</f>
        <v>0</v>
      </c>
    </row>
    <row r="16" customFormat="false" ht="15" hidden="false" customHeight="false" outlineLevel="0" collapsed="false">
      <c r="A16" s="10" t="n">
        <v>0.075</v>
      </c>
      <c r="B16" s="21" t="n">
        <f aca="false">ExitNOI/$A16</f>
        <v>32710925.2272213</v>
      </c>
      <c r="C16" s="21" t="n">
        <f aca="false">B16*(1-SaleCost)</f>
        <v>32302038.661881</v>
      </c>
      <c r="D16" s="21" t="n">
        <f aca="false">'Cash flows'!L28+C16-NetExit</f>
        <v>19109524.2802606</v>
      </c>
      <c r="E16" s="23" t="n">
        <f aca="false">IRR(B35:L35)</f>
        <v>0.0585947587313607</v>
      </c>
      <c r="F16" s="23" t="n">
        <f aca="false">IRR(B54:L54)</f>
        <v>0.0702632789093163</v>
      </c>
      <c r="G16" s="29" t="n">
        <f aca="false">SUM(C54:L54)/Equity0</f>
        <v>1.86866962097266</v>
      </c>
      <c r="H16" s="12" t="n">
        <f aca="false">M16+(L16-M16)*Promote</f>
        <v>0</v>
      </c>
      <c r="I16" s="23" t="n">
        <f aca="false">IRR(B73:L73)</f>
        <v>0.0702632789093163</v>
      </c>
      <c r="J16" s="21" t="n">
        <f aca="false">MIN(D16,Waterfall!K23+(Waterfall!K22+Waterfall!K23)*Pref)</f>
        <v>6545773.03513518</v>
      </c>
      <c r="K16" s="21" t="n">
        <f aca="false">MIN(D16-J16,Waterfall!K22)</f>
        <v>12563751.2451254</v>
      </c>
      <c r="L16" s="21" t="n">
        <f aca="false">D16-J16-K16</f>
        <v>0</v>
      </c>
      <c r="M16" s="21" t="n">
        <f aca="false">MIN(L16,MAX(0,(Waterfall!K16+J16)*CatchUp-Waterfall!K20))</f>
        <v>0</v>
      </c>
    </row>
    <row r="17" customFormat="false" ht="15" hidden="false" customHeight="false" outlineLevel="0" collapsed="false">
      <c r="A17" s="10" t="n">
        <v>0.0775</v>
      </c>
      <c r="B17" s="21" t="n">
        <f aca="false">ExitNOI/$A17</f>
        <v>31655734.0908593</v>
      </c>
      <c r="C17" s="21" t="n">
        <f aca="false">B17*(1-SaleCost)</f>
        <v>31260037.4147236</v>
      </c>
      <c r="D17" s="21" t="n">
        <f aca="false">'Cash flows'!L28+C17-NetExit</f>
        <v>18067523.0331031</v>
      </c>
      <c r="E17" s="23" t="n">
        <f aca="false">IRR(B36:L36)</f>
        <v>0.0560293718999753</v>
      </c>
      <c r="F17" s="23" t="n">
        <f aca="false">IRR(B55:L55)</f>
        <v>0.0657137198139202</v>
      </c>
      <c r="G17" s="29" t="n">
        <f aca="false">SUM(C55:L55)/Equity0</f>
        <v>1.79335286835266</v>
      </c>
      <c r="H17" s="12" t="n">
        <f aca="false">M17+(L17-M17)*Promote</f>
        <v>0</v>
      </c>
      <c r="I17" s="23" t="n">
        <f aca="false">IRR(B74:L74)</f>
        <v>0.0657137198139202</v>
      </c>
      <c r="J17" s="21" t="n">
        <f aca="false">MIN(D17,Waterfall!K23+(Waterfall!K22+Waterfall!K23)*Pref)</f>
        <v>6545773.03513518</v>
      </c>
      <c r="K17" s="21" t="n">
        <f aca="false">MIN(D17-J17,Waterfall!K22)</f>
        <v>11521749.997968</v>
      </c>
      <c r="L17" s="21" t="n">
        <f aca="false">D17-J17-K17</f>
        <v>0</v>
      </c>
      <c r="M17" s="21" t="n">
        <f aca="false">MIN(L17,MAX(0,(Waterfall!K16+J17)*CatchUp-Waterfall!K20))</f>
        <v>0</v>
      </c>
    </row>
    <row r="18" customFormat="false" ht="15" hidden="false" customHeight="false" outlineLevel="0" collapsed="false">
      <c r="A18" s="10" t="n">
        <v>0.08</v>
      </c>
      <c r="B18" s="21" t="n">
        <f aca="false">ExitNOI/$A18</f>
        <v>30666492.40052</v>
      </c>
      <c r="C18" s="21" t="n">
        <f aca="false">B18*(1-SaleCost)</f>
        <v>30283161.2455135</v>
      </c>
      <c r="D18" s="21" t="n">
        <f aca="false">'Cash flows'!L28+C18-NetExit</f>
        <v>17090646.863893</v>
      </c>
      <c r="E18" s="23" t="n">
        <f aca="false">IRR(B37:L37)</f>
        <v>0.0535679005069712</v>
      </c>
      <c r="F18" s="23" t="n">
        <f aca="false">IRR(B56:L56)</f>
        <v>0.0612690449540508</v>
      </c>
      <c r="G18" s="29" t="n">
        <f aca="false">SUM(C56:L56)/Equity0</f>
        <v>1.72274341277141</v>
      </c>
      <c r="H18" s="12" t="n">
        <f aca="false">M18+(L18-M18)*Promote</f>
        <v>0</v>
      </c>
      <c r="I18" s="23" t="n">
        <f aca="false">IRR(B75:L75)</f>
        <v>0.0612690449540508</v>
      </c>
      <c r="J18" s="21" t="n">
        <f aca="false">MIN(D18,Waterfall!K23+(Waterfall!K22+Waterfall!K23)*Pref)</f>
        <v>6545773.03513518</v>
      </c>
      <c r="K18" s="21" t="n">
        <f aca="false">MIN(D18-J18,Waterfall!K22)</f>
        <v>10544873.8287579</v>
      </c>
      <c r="L18" s="21" t="n">
        <f aca="false">D18-J18-K18</f>
        <v>0</v>
      </c>
      <c r="M18" s="21" t="n">
        <f aca="false">MIN(L18,MAX(0,(Waterfall!K16+J18)*CatchUp-Waterfall!K20))</f>
        <v>0</v>
      </c>
    </row>
    <row r="19" customFormat="false" ht="15" hidden="false" customHeight="false" outlineLevel="0" collapsed="false">
      <c r="A19" s="10" t="n">
        <v>0.085</v>
      </c>
      <c r="B19" s="21" t="n">
        <f aca="false">ExitNOI/$A19</f>
        <v>28862581.0828423</v>
      </c>
      <c r="C19" s="21" t="n">
        <f aca="false">B19*(1-SaleCost)</f>
        <v>28501798.8193068</v>
      </c>
      <c r="D19" s="21" t="n">
        <f aca="false">'Cash flows'!L28+C19-NetExit</f>
        <v>15309284.4376864</v>
      </c>
      <c r="E19" s="23" t="n">
        <f aca="false">IRR(B38:L38)</f>
        <v>0.0489294749695699</v>
      </c>
      <c r="F19" s="23" t="n">
        <f aca="false">IRR(B57:L57)</f>
        <v>0.0526618019107081</v>
      </c>
      <c r="G19" s="29" t="n">
        <f aca="false">SUM(C57:L57)/Equity0</f>
        <v>1.59398499377032</v>
      </c>
      <c r="H19" s="12" t="n">
        <f aca="false">M19+(L19-M19)*Promote</f>
        <v>0</v>
      </c>
      <c r="I19" s="23" t="n">
        <f aca="false">IRR(B76:L76)</f>
        <v>0.0526618019107081</v>
      </c>
      <c r="J19" s="21" t="n">
        <f aca="false">MIN(D19,Waterfall!K23+(Waterfall!K22+Waterfall!K23)*Pref)</f>
        <v>6545773.03513518</v>
      </c>
      <c r="K19" s="21" t="n">
        <f aca="false">MIN(D19-J19,Waterfall!K22)</f>
        <v>8763511.40255117</v>
      </c>
      <c r="L19" s="21" t="n">
        <f aca="false">D19-J19-K19</f>
        <v>0</v>
      </c>
      <c r="M19" s="21" t="n">
        <f aca="false">MIN(L19,MAX(0,(Waterfall!K16+J19)*CatchUp-Waterfall!K20))</f>
        <v>0</v>
      </c>
    </row>
    <row r="20" customFormat="false" ht="15" hidden="false" customHeight="false" outlineLevel="0" collapsed="false">
      <c r="A20" s="27" t="n">
        <f aca="false">EntryYield</f>
        <v>0.0705545146098141</v>
      </c>
      <c r="B20" s="21" t="n">
        <f aca="false">ExitNOI/$A20</f>
        <v>34771968.960585</v>
      </c>
      <c r="C20" s="21" t="n">
        <f aca="false">B20*(1-SaleCost)</f>
        <v>34337319.3485777</v>
      </c>
      <c r="D20" s="21" t="n">
        <f aca="false">'Cash flows'!L28+C20-NetExit</f>
        <v>21144804.9669572</v>
      </c>
      <c r="E20" s="23" t="n">
        <f aca="false">IRR(B39:L39)</f>
        <v>0.0634377147912664</v>
      </c>
      <c r="F20" s="23" t="n">
        <f aca="false">IRR(B58:L58)</f>
        <v>0.0786412496416143</v>
      </c>
      <c r="G20" s="29" t="n">
        <f aca="false">SUM(C58:L58)/Equity0</f>
        <v>2.01578147176013</v>
      </c>
      <c r="H20" s="12" t="n">
        <f aca="false">M20+(L20-M20)*Promote</f>
        <v>0</v>
      </c>
      <c r="I20" s="23" t="n">
        <f aca="false">IRR(B77:L77)</f>
        <v>0.0786412496416143</v>
      </c>
      <c r="J20" s="21" t="n">
        <f aca="false">MIN(D20,Waterfall!K23+(Waterfall!K22+Waterfall!K23)*Pref)</f>
        <v>6545773.03513518</v>
      </c>
      <c r="K20" s="21" t="n">
        <f aca="false">MIN(D20-J20,Waterfall!K22)</f>
        <v>14599031.9318221</v>
      </c>
      <c r="L20" s="21" t="n">
        <f aca="false">D20-J20-K20</f>
        <v>0</v>
      </c>
      <c r="M20" s="21" t="n">
        <f aca="false">MIN(L20,MAX(0,(Waterfall!K16+J20)*CatchUp-Waterfall!K20))</f>
        <v>0</v>
      </c>
    </row>
    <row r="21" customFormat="false" ht="15" hidden="false" customHeight="false" outlineLevel="0" collapsed="false">
      <c r="A21" s="27" t="n">
        <f aca="false">ExitNOI*(1-SaleCost)/((Waterfall!K22+Waterfall!K23)*(1+Pref)-'Income account'!K46+AMFee+Interest+Debt)</f>
        <v>0.0698530099985244</v>
      </c>
      <c r="B21" s="21" t="n">
        <f aca="false">ExitNOI/$A21</f>
        <v>35121169.3253221</v>
      </c>
      <c r="C21" s="21" t="n">
        <f aca="false">B21*(1-SaleCost)</f>
        <v>34682154.7087556</v>
      </c>
      <c r="D21" s="21" t="n">
        <f aca="false">'Cash flows'!L28+C21-NetExit</f>
        <v>21489640.3271352</v>
      </c>
      <c r="E21" s="23" t="n">
        <f aca="false">IRR(B40:L40)</f>
        <v>0.0642374074522311</v>
      </c>
      <c r="F21" s="23" t="n">
        <f aca="false">IRR(B59:L59)</f>
        <v>0.0800000000000001</v>
      </c>
      <c r="G21" s="29" t="n">
        <f aca="false">SUM(C59:L59)/Equity0</f>
        <v>2.0407064702551</v>
      </c>
      <c r="H21" s="12" t="n">
        <f aca="false">M21+(L21-M21)*Promote</f>
        <v>0</v>
      </c>
      <c r="I21" s="23" t="n">
        <f aca="false">IRR(B78:L78)</f>
        <v>0.0800000000000001</v>
      </c>
      <c r="J21" s="21" t="n">
        <f aca="false">MIN(D21,Waterfall!K23+(Waterfall!K22+Waterfall!K23)*Pref)</f>
        <v>6545773.03513518</v>
      </c>
      <c r="K21" s="21" t="n">
        <f aca="false">MIN(D21-J21,Waterfall!K22)</f>
        <v>14943867.292</v>
      </c>
      <c r="L21" s="21" t="n">
        <f aca="false">D21-J21-K21</f>
        <v>0</v>
      </c>
      <c r="M21" s="21" t="n">
        <f aca="false">MIN(L21,MAX(0,(Waterfall!K16+J21)*CatchUp-Waterfall!K20))</f>
        <v>0</v>
      </c>
    </row>
    <row r="25" customFormat="false" ht="15" hidden="false" customHeight="false" outlineLevel="0" collapsed="false">
      <c r="A25" s="4" t="s">
        <v>183</v>
      </c>
      <c r="B25" s="6"/>
      <c r="C25" s="6"/>
      <c r="D25" s="6"/>
      <c r="E25" s="6"/>
      <c r="F25" s="6"/>
      <c r="G25" s="6"/>
      <c r="H25" s="6"/>
      <c r="I25" s="6"/>
      <c r="J25" s="6"/>
      <c r="K25" s="6"/>
    </row>
    <row r="26" customFormat="false" ht="15" hidden="false" customHeight="false" outlineLevel="0" collapsed="false">
      <c r="A26" s="18" t="s">
        <v>184</v>
      </c>
    </row>
    <row r="27" customFormat="false" ht="15" hidden="false" customHeight="false" outlineLevel="0" collapsed="false">
      <c r="A27" s="30" t="n">
        <f aca="false">$A8</f>
        <v>0.055</v>
      </c>
      <c r="B27" s="26" t="n">
        <f aca="false">'Cash flows'!B24</f>
        <v>-28195200</v>
      </c>
      <c r="C27" s="26" t="n">
        <f aca="false">'Cash flows'!C24</f>
        <v>-477327.292</v>
      </c>
      <c r="D27" s="26" t="n">
        <f aca="false">'Cash flows'!D24</f>
        <v>864836.832</v>
      </c>
      <c r="E27" s="26" t="n">
        <f aca="false">'Cash flows'!E24</f>
        <v>1095469.15772</v>
      </c>
      <c r="F27" s="26" t="n">
        <f aca="false">'Cash flows'!F24</f>
        <v>1630672.6252437</v>
      </c>
      <c r="G27" s="26" t="n">
        <f aca="false">'Cash flows'!G24</f>
        <v>1849861.6421073</v>
      </c>
      <c r="H27" s="26" t="n">
        <f aca="false">'Cash flows'!H24</f>
        <v>1803948.43601717</v>
      </c>
      <c r="I27" s="26" t="n">
        <f aca="false">'Cash flows'!I24</f>
        <v>2010570.38170992</v>
      </c>
      <c r="J27" s="26" t="n">
        <f aca="false">'Cash flows'!J24</f>
        <v>1604771.08603718</v>
      </c>
      <c r="K27" s="26" t="n">
        <f aca="false">'Cash flows'!K24</f>
        <v>2045147.56349119</v>
      </c>
      <c r="L27" s="26" t="n">
        <f aca="false">'Cash flows'!L24+C8-NetExit</f>
        <v>46007340.1573082</v>
      </c>
    </row>
    <row r="28" customFormat="false" ht="15" hidden="false" customHeight="false" outlineLevel="0" collapsed="false">
      <c r="A28" s="30" t="n">
        <f aca="false">$A9</f>
        <v>0.0575</v>
      </c>
      <c r="B28" s="26" t="n">
        <f aca="false">'Cash flows'!B24</f>
        <v>-28195200</v>
      </c>
      <c r="C28" s="26" t="n">
        <f aca="false">'Cash flows'!C24</f>
        <v>-477327.292</v>
      </c>
      <c r="D28" s="26" t="n">
        <f aca="false">'Cash flows'!D24</f>
        <v>864836.832</v>
      </c>
      <c r="E28" s="26" t="n">
        <f aca="false">'Cash flows'!E24</f>
        <v>1095469.15772</v>
      </c>
      <c r="F28" s="26" t="n">
        <f aca="false">'Cash flows'!F24</f>
        <v>1630672.6252437</v>
      </c>
      <c r="G28" s="26" t="n">
        <f aca="false">'Cash flows'!G24</f>
        <v>1849861.6421073</v>
      </c>
      <c r="H28" s="26" t="n">
        <f aca="false">'Cash flows'!H24</f>
        <v>1803948.43601717</v>
      </c>
      <c r="I28" s="26" t="n">
        <f aca="false">'Cash flows'!I24</f>
        <v>2010570.38170992</v>
      </c>
      <c r="J28" s="26" t="n">
        <f aca="false">'Cash flows'!J24</f>
        <v>1604771.08603718</v>
      </c>
      <c r="K28" s="26" t="n">
        <f aca="false">'Cash flows'!K24</f>
        <v>2045147.56349119</v>
      </c>
      <c r="L28" s="26" t="n">
        <f aca="false">'Cash flows'!L24+C9-NetExit</f>
        <v>44092199.5251809</v>
      </c>
    </row>
    <row r="29" customFormat="false" ht="15" hidden="false" customHeight="false" outlineLevel="0" collapsed="false">
      <c r="A29" s="30" t="n">
        <f aca="false">$A10</f>
        <v>0.06</v>
      </c>
      <c r="B29" s="26" t="n">
        <f aca="false">'Cash flows'!B24</f>
        <v>-28195200</v>
      </c>
      <c r="C29" s="26" t="n">
        <f aca="false">'Cash flows'!C24</f>
        <v>-477327.292</v>
      </c>
      <c r="D29" s="26" t="n">
        <f aca="false">'Cash flows'!D24</f>
        <v>864836.832</v>
      </c>
      <c r="E29" s="26" t="n">
        <f aca="false">'Cash flows'!E24</f>
        <v>1095469.15772</v>
      </c>
      <c r="F29" s="26" t="n">
        <f aca="false">'Cash flows'!F24</f>
        <v>1630672.6252437</v>
      </c>
      <c r="G29" s="26" t="n">
        <f aca="false">'Cash flows'!G24</f>
        <v>1849861.6421073</v>
      </c>
      <c r="H29" s="26" t="n">
        <f aca="false">'Cash flows'!H24</f>
        <v>1803948.43601717</v>
      </c>
      <c r="I29" s="26" t="n">
        <f aca="false">'Cash flows'!I24</f>
        <v>2010570.38170992</v>
      </c>
      <c r="J29" s="26" t="n">
        <f aca="false">'Cash flows'!J24</f>
        <v>1604771.08603718</v>
      </c>
      <c r="K29" s="26" t="n">
        <f aca="false">'Cash flows'!K24</f>
        <v>2045147.56349119</v>
      </c>
      <c r="L29" s="26" t="n">
        <f aca="false">'Cash flows'!L24+C10-NetExit</f>
        <v>42336653.9457309</v>
      </c>
    </row>
    <row r="30" customFormat="false" ht="15" hidden="false" customHeight="false" outlineLevel="0" collapsed="false">
      <c r="A30" s="30" t="n">
        <f aca="false">$A11</f>
        <v>0.0625</v>
      </c>
      <c r="B30" s="26" t="n">
        <f aca="false">'Cash flows'!B24</f>
        <v>-28195200</v>
      </c>
      <c r="C30" s="26" t="n">
        <f aca="false">'Cash flows'!C24</f>
        <v>-477327.292</v>
      </c>
      <c r="D30" s="26" t="n">
        <f aca="false">'Cash flows'!D24</f>
        <v>864836.832</v>
      </c>
      <c r="E30" s="26" t="n">
        <f aca="false">'Cash flows'!E24</f>
        <v>1095469.15772</v>
      </c>
      <c r="F30" s="26" t="n">
        <f aca="false">'Cash flows'!F24</f>
        <v>1630672.6252437</v>
      </c>
      <c r="G30" s="26" t="n">
        <f aca="false">'Cash flows'!G24</f>
        <v>1849861.6421073</v>
      </c>
      <c r="H30" s="26" t="n">
        <f aca="false">'Cash flows'!H24</f>
        <v>1803948.43601717</v>
      </c>
      <c r="I30" s="26" t="n">
        <f aca="false">'Cash flows'!I24</f>
        <v>2010570.38170992</v>
      </c>
      <c r="J30" s="26" t="n">
        <f aca="false">'Cash flows'!J24</f>
        <v>1604771.08603718</v>
      </c>
      <c r="K30" s="26" t="n">
        <f aca="false">'Cash flows'!K24</f>
        <v>2045147.56349119</v>
      </c>
      <c r="L30" s="26" t="n">
        <f aca="false">'Cash flows'!L24+C11-NetExit</f>
        <v>40721552.0126368</v>
      </c>
    </row>
    <row r="31" customFormat="false" ht="15" hidden="false" customHeight="false" outlineLevel="0" collapsed="false">
      <c r="A31" s="30" t="n">
        <f aca="false">$A12</f>
        <v>0.065</v>
      </c>
      <c r="B31" s="26" t="n">
        <f aca="false">'Cash flows'!B24</f>
        <v>-28195200</v>
      </c>
      <c r="C31" s="26" t="n">
        <f aca="false">'Cash flows'!C24</f>
        <v>-477327.292</v>
      </c>
      <c r="D31" s="26" t="n">
        <f aca="false">'Cash flows'!D24</f>
        <v>864836.832</v>
      </c>
      <c r="E31" s="26" t="n">
        <f aca="false">'Cash flows'!E24</f>
        <v>1095469.15772</v>
      </c>
      <c r="F31" s="26" t="n">
        <f aca="false">'Cash flows'!F24</f>
        <v>1630672.6252437</v>
      </c>
      <c r="G31" s="26" t="n">
        <f aca="false">'Cash flows'!G24</f>
        <v>1849861.6421073</v>
      </c>
      <c r="H31" s="26" t="n">
        <f aca="false">'Cash flows'!H24</f>
        <v>1803948.43601717</v>
      </c>
      <c r="I31" s="26" t="n">
        <f aca="false">'Cash flows'!I24</f>
        <v>2010570.38170992</v>
      </c>
      <c r="J31" s="26" t="n">
        <f aca="false">'Cash flows'!J24</f>
        <v>1604771.08603718</v>
      </c>
      <c r="K31" s="26" t="n">
        <f aca="false">'Cash flows'!K24</f>
        <v>2045147.56349119</v>
      </c>
      <c r="L31" s="26" t="n">
        <f aca="false">'Cash flows'!L24+C12-NetExit</f>
        <v>39230688.6897808</v>
      </c>
    </row>
    <row r="32" customFormat="false" ht="15" hidden="false" customHeight="false" outlineLevel="0" collapsed="false">
      <c r="A32" s="30" t="n">
        <f aca="false">$A13</f>
        <v>0.0665</v>
      </c>
      <c r="B32" s="26" t="n">
        <f aca="false">'Cash flows'!B24</f>
        <v>-28195200</v>
      </c>
      <c r="C32" s="26" t="n">
        <f aca="false">'Cash flows'!C24</f>
        <v>-477327.292</v>
      </c>
      <c r="D32" s="26" t="n">
        <f aca="false">'Cash flows'!D24</f>
        <v>864836.832</v>
      </c>
      <c r="E32" s="26" t="n">
        <f aca="false">'Cash flows'!E24</f>
        <v>1095469.15772</v>
      </c>
      <c r="F32" s="26" t="n">
        <f aca="false">'Cash flows'!F24</f>
        <v>1630672.6252437</v>
      </c>
      <c r="G32" s="26" t="n">
        <f aca="false">'Cash flows'!G24</f>
        <v>1849861.6421073</v>
      </c>
      <c r="H32" s="26" t="n">
        <f aca="false">'Cash flows'!H24</f>
        <v>1803948.43601717</v>
      </c>
      <c r="I32" s="26" t="n">
        <f aca="false">'Cash flows'!I24</f>
        <v>2010570.38170992</v>
      </c>
      <c r="J32" s="26" t="n">
        <f aca="false">'Cash flows'!J24</f>
        <v>1604771.08603718</v>
      </c>
      <c r="K32" s="26" t="n">
        <f aca="false">'Cash flows'!K24</f>
        <v>2045147.56349119</v>
      </c>
      <c r="L32" s="26" t="n">
        <f aca="false">'Cash flows'!L24+C13-NetExit</f>
        <v>38389976.289674</v>
      </c>
    </row>
    <row r="33" customFormat="false" ht="15" hidden="false" customHeight="false" outlineLevel="0" collapsed="false">
      <c r="A33" s="30" t="n">
        <f aca="false">$A14</f>
        <v>0.07</v>
      </c>
      <c r="B33" s="26" t="n">
        <f aca="false">'Cash flows'!B24</f>
        <v>-28195200</v>
      </c>
      <c r="C33" s="26" t="n">
        <f aca="false">'Cash flows'!C24</f>
        <v>-477327.292</v>
      </c>
      <c r="D33" s="26" t="n">
        <f aca="false">'Cash flows'!D24</f>
        <v>864836.832</v>
      </c>
      <c r="E33" s="26" t="n">
        <f aca="false">'Cash flows'!E24</f>
        <v>1095469.15772</v>
      </c>
      <c r="F33" s="26" t="n">
        <f aca="false">'Cash flows'!F24</f>
        <v>1630672.6252437</v>
      </c>
      <c r="G33" s="26" t="n">
        <f aca="false">'Cash flows'!G24</f>
        <v>1849861.6421073</v>
      </c>
      <c r="H33" s="26" t="n">
        <f aca="false">'Cash flows'!H24</f>
        <v>1803948.43601717</v>
      </c>
      <c r="I33" s="26" t="n">
        <f aca="false">'Cash flows'!I24</f>
        <v>2010570.38170992</v>
      </c>
      <c r="J33" s="26" t="n">
        <f aca="false">'Cash flows'!J24</f>
        <v>1604771.08603718</v>
      </c>
      <c r="K33" s="26" t="n">
        <f aca="false">'Cash flows'!K24</f>
        <v>2045147.56349119</v>
      </c>
      <c r="L33" s="26" t="n">
        <f aca="false">'Cash flows'!L24+C14-NetExit</f>
        <v>36568432.7561092</v>
      </c>
    </row>
    <row r="34" customFormat="false" ht="15" hidden="false" customHeight="false" outlineLevel="0" collapsed="false">
      <c r="A34" s="30" t="n">
        <f aca="false">$A15</f>
        <v>0.0725</v>
      </c>
      <c r="B34" s="26" t="n">
        <f aca="false">'Cash flows'!B24</f>
        <v>-28195200</v>
      </c>
      <c r="C34" s="26" t="n">
        <f aca="false">'Cash flows'!C24</f>
        <v>-477327.292</v>
      </c>
      <c r="D34" s="26" t="n">
        <f aca="false">'Cash flows'!D24</f>
        <v>864836.832</v>
      </c>
      <c r="E34" s="26" t="n">
        <f aca="false">'Cash flows'!E24</f>
        <v>1095469.15772</v>
      </c>
      <c r="F34" s="26" t="n">
        <f aca="false">'Cash flows'!F24</f>
        <v>1630672.6252437</v>
      </c>
      <c r="G34" s="26" t="n">
        <f aca="false">'Cash flows'!G24</f>
        <v>1849861.6421073</v>
      </c>
      <c r="H34" s="26" t="n">
        <f aca="false">'Cash flows'!H24</f>
        <v>1803948.43601717</v>
      </c>
      <c r="I34" s="26" t="n">
        <f aca="false">'Cash flows'!I24</f>
        <v>2010570.38170992</v>
      </c>
      <c r="J34" s="26" t="n">
        <f aca="false">'Cash flows'!J24</f>
        <v>1604771.08603718</v>
      </c>
      <c r="K34" s="26" t="n">
        <f aca="false">'Cash flows'!K24</f>
        <v>2045147.56349119</v>
      </c>
      <c r="L34" s="26" t="n">
        <f aca="false">'Cash flows'!L24+C15-NetExit</f>
        <v>35375007.6823944</v>
      </c>
    </row>
    <row r="35" customFormat="false" ht="15" hidden="false" customHeight="false" outlineLevel="0" collapsed="false">
      <c r="A35" s="30" t="n">
        <f aca="false">$A16</f>
        <v>0.075</v>
      </c>
      <c r="B35" s="26" t="n">
        <f aca="false">'Cash flows'!B24</f>
        <v>-28195200</v>
      </c>
      <c r="C35" s="26" t="n">
        <f aca="false">'Cash flows'!C24</f>
        <v>-477327.292</v>
      </c>
      <c r="D35" s="26" t="n">
        <f aca="false">'Cash flows'!D24</f>
        <v>864836.832</v>
      </c>
      <c r="E35" s="26" t="n">
        <f aca="false">'Cash flows'!E24</f>
        <v>1095469.15772</v>
      </c>
      <c r="F35" s="26" t="n">
        <f aca="false">'Cash flows'!F24</f>
        <v>1630672.6252437</v>
      </c>
      <c r="G35" s="26" t="n">
        <f aca="false">'Cash flows'!G24</f>
        <v>1849861.6421073</v>
      </c>
      <c r="H35" s="26" t="n">
        <f aca="false">'Cash flows'!H24</f>
        <v>1803948.43601717</v>
      </c>
      <c r="I35" s="26" t="n">
        <f aca="false">'Cash flows'!I24</f>
        <v>2010570.38170992</v>
      </c>
      <c r="J35" s="26" t="n">
        <f aca="false">'Cash flows'!J24</f>
        <v>1604771.08603718</v>
      </c>
      <c r="K35" s="26" t="n">
        <f aca="false">'Cash flows'!K24</f>
        <v>2045147.56349119</v>
      </c>
      <c r="L35" s="26" t="n">
        <f aca="false">'Cash flows'!L24+C16-NetExit</f>
        <v>34261144.2802606</v>
      </c>
    </row>
    <row r="36" customFormat="false" ht="15" hidden="false" customHeight="false" outlineLevel="0" collapsed="false">
      <c r="A36" s="30" t="n">
        <f aca="false">$A17</f>
        <v>0.0775</v>
      </c>
      <c r="B36" s="26" t="n">
        <f aca="false">'Cash flows'!B24</f>
        <v>-28195200</v>
      </c>
      <c r="C36" s="26" t="n">
        <f aca="false">'Cash flows'!C24</f>
        <v>-477327.292</v>
      </c>
      <c r="D36" s="26" t="n">
        <f aca="false">'Cash flows'!D24</f>
        <v>864836.832</v>
      </c>
      <c r="E36" s="26" t="n">
        <f aca="false">'Cash flows'!E24</f>
        <v>1095469.15772</v>
      </c>
      <c r="F36" s="26" t="n">
        <f aca="false">'Cash flows'!F24</f>
        <v>1630672.6252437</v>
      </c>
      <c r="G36" s="26" t="n">
        <f aca="false">'Cash flows'!G24</f>
        <v>1849861.6421073</v>
      </c>
      <c r="H36" s="26" t="n">
        <f aca="false">'Cash flows'!H24</f>
        <v>1803948.43601717</v>
      </c>
      <c r="I36" s="26" t="n">
        <f aca="false">'Cash flows'!I24</f>
        <v>2010570.38170992</v>
      </c>
      <c r="J36" s="26" t="n">
        <f aca="false">'Cash flows'!J24</f>
        <v>1604771.08603718</v>
      </c>
      <c r="K36" s="26" t="n">
        <f aca="false">'Cash flows'!K24</f>
        <v>2045147.56349119</v>
      </c>
      <c r="L36" s="26" t="n">
        <f aca="false">'Cash flows'!L24+C17-NetExit</f>
        <v>33219143.0331031</v>
      </c>
    </row>
    <row r="37" customFormat="false" ht="15" hidden="false" customHeight="false" outlineLevel="0" collapsed="false">
      <c r="A37" s="30" t="n">
        <f aca="false">$A18</f>
        <v>0.08</v>
      </c>
      <c r="B37" s="26" t="n">
        <f aca="false">'Cash flows'!B24</f>
        <v>-28195200</v>
      </c>
      <c r="C37" s="26" t="n">
        <f aca="false">'Cash flows'!C24</f>
        <v>-477327.292</v>
      </c>
      <c r="D37" s="26" t="n">
        <f aca="false">'Cash flows'!D24</f>
        <v>864836.832</v>
      </c>
      <c r="E37" s="26" t="n">
        <f aca="false">'Cash flows'!E24</f>
        <v>1095469.15772</v>
      </c>
      <c r="F37" s="26" t="n">
        <f aca="false">'Cash flows'!F24</f>
        <v>1630672.6252437</v>
      </c>
      <c r="G37" s="26" t="n">
        <f aca="false">'Cash flows'!G24</f>
        <v>1849861.6421073</v>
      </c>
      <c r="H37" s="26" t="n">
        <f aca="false">'Cash flows'!H24</f>
        <v>1803948.43601717</v>
      </c>
      <c r="I37" s="26" t="n">
        <f aca="false">'Cash flows'!I24</f>
        <v>2010570.38170992</v>
      </c>
      <c r="J37" s="26" t="n">
        <f aca="false">'Cash flows'!J24</f>
        <v>1604771.08603718</v>
      </c>
      <c r="K37" s="26" t="n">
        <f aca="false">'Cash flows'!K24</f>
        <v>2045147.56349119</v>
      </c>
      <c r="L37" s="26" t="n">
        <f aca="false">'Cash flows'!L24+C18-NetExit</f>
        <v>32242266.863893</v>
      </c>
    </row>
    <row r="38" customFormat="false" ht="15" hidden="false" customHeight="false" outlineLevel="0" collapsed="false">
      <c r="A38" s="30" t="n">
        <f aca="false">$A19</f>
        <v>0.085</v>
      </c>
      <c r="B38" s="26" t="n">
        <f aca="false">'Cash flows'!B24</f>
        <v>-28195200</v>
      </c>
      <c r="C38" s="26" t="n">
        <f aca="false">'Cash flows'!C24</f>
        <v>-477327.292</v>
      </c>
      <c r="D38" s="26" t="n">
        <f aca="false">'Cash flows'!D24</f>
        <v>864836.832</v>
      </c>
      <c r="E38" s="26" t="n">
        <f aca="false">'Cash flows'!E24</f>
        <v>1095469.15772</v>
      </c>
      <c r="F38" s="26" t="n">
        <f aca="false">'Cash flows'!F24</f>
        <v>1630672.6252437</v>
      </c>
      <c r="G38" s="26" t="n">
        <f aca="false">'Cash flows'!G24</f>
        <v>1849861.6421073</v>
      </c>
      <c r="H38" s="26" t="n">
        <f aca="false">'Cash flows'!H24</f>
        <v>1803948.43601717</v>
      </c>
      <c r="I38" s="26" t="n">
        <f aca="false">'Cash flows'!I24</f>
        <v>2010570.38170992</v>
      </c>
      <c r="J38" s="26" t="n">
        <f aca="false">'Cash flows'!J24</f>
        <v>1604771.08603718</v>
      </c>
      <c r="K38" s="26" t="n">
        <f aca="false">'Cash flows'!K24</f>
        <v>2045147.56349119</v>
      </c>
      <c r="L38" s="26" t="n">
        <f aca="false">'Cash flows'!L24+C19-NetExit</f>
        <v>30460904.4376864</v>
      </c>
    </row>
    <row r="39" customFormat="false" ht="15" hidden="false" customHeight="false" outlineLevel="0" collapsed="false">
      <c r="A39" s="30" t="n">
        <f aca="false">$A20</f>
        <v>0.0705545146098141</v>
      </c>
      <c r="B39" s="26" t="n">
        <f aca="false">'Cash flows'!B24</f>
        <v>-28195200</v>
      </c>
      <c r="C39" s="26" t="n">
        <f aca="false">'Cash flows'!C24</f>
        <v>-477327.292</v>
      </c>
      <c r="D39" s="26" t="n">
        <f aca="false">'Cash flows'!D24</f>
        <v>864836.832</v>
      </c>
      <c r="E39" s="26" t="n">
        <f aca="false">'Cash flows'!E24</f>
        <v>1095469.15772</v>
      </c>
      <c r="F39" s="26" t="n">
        <f aca="false">'Cash flows'!F24</f>
        <v>1630672.6252437</v>
      </c>
      <c r="G39" s="26" t="n">
        <f aca="false">'Cash flows'!G24</f>
        <v>1849861.6421073</v>
      </c>
      <c r="H39" s="26" t="n">
        <f aca="false">'Cash flows'!H24</f>
        <v>1803948.43601717</v>
      </c>
      <c r="I39" s="26" t="n">
        <f aca="false">'Cash flows'!I24</f>
        <v>2010570.38170992</v>
      </c>
      <c r="J39" s="26" t="n">
        <f aca="false">'Cash flows'!J24</f>
        <v>1604771.08603718</v>
      </c>
      <c r="K39" s="26" t="n">
        <f aca="false">'Cash flows'!K24</f>
        <v>2045147.56349119</v>
      </c>
      <c r="L39" s="26" t="n">
        <f aca="false">'Cash flows'!L24+C20-NetExit</f>
        <v>36296424.9669572</v>
      </c>
    </row>
    <row r="40" customFormat="false" ht="15" hidden="false" customHeight="false" outlineLevel="0" collapsed="false">
      <c r="A40" s="30" t="n">
        <f aca="false">$A21</f>
        <v>0.0698530099985244</v>
      </c>
      <c r="B40" s="26" t="n">
        <f aca="false">'Cash flows'!B24</f>
        <v>-28195200</v>
      </c>
      <c r="C40" s="26" t="n">
        <f aca="false">'Cash flows'!C24</f>
        <v>-477327.292</v>
      </c>
      <c r="D40" s="26" t="n">
        <f aca="false">'Cash flows'!D24</f>
        <v>864836.832</v>
      </c>
      <c r="E40" s="26" t="n">
        <f aca="false">'Cash flows'!E24</f>
        <v>1095469.15772</v>
      </c>
      <c r="F40" s="26" t="n">
        <f aca="false">'Cash flows'!F24</f>
        <v>1630672.6252437</v>
      </c>
      <c r="G40" s="26" t="n">
        <f aca="false">'Cash flows'!G24</f>
        <v>1849861.6421073</v>
      </c>
      <c r="H40" s="26" t="n">
        <f aca="false">'Cash flows'!H24</f>
        <v>1803948.43601717</v>
      </c>
      <c r="I40" s="26" t="n">
        <f aca="false">'Cash flows'!I24</f>
        <v>2010570.38170992</v>
      </c>
      <c r="J40" s="26" t="n">
        <f aca="false">'Cash flows'!J24</f>
        <v>1604771.08603718</v>
      </c>
      <c r="K40" s="26" t="n">
        <f aca="false">'Cash flows'!K24</f>
        <v>2045147.56349119</v>
      </c>
      <c r="L40" s="26" t="n">
        <f aca="false">'Cash flows'!L24+C21-NetExit</f>
        <v>36641260.3271352</v>
      </c>
    </row>
    <row r="44" customFormat="false" ht="15" hidden="false" customHeight="false" outlineLevel="0" collapsed="false">
      <c r="A44" s="4" t="s">
        <v>185</v>
      </c>
      <c r="B44" s="6"/>
      <c r="C44" s="6"/>
      <c r="D44" s="6"/>
      <c r="E44" s="6"/>
      <c r="F44" s="6"/>
      <c r="G44" s="6"/>
      <c r="H44" s="6"/>
      <c r="I44" s="6"/>
      <c r="J44" s="6"/>
      <c r="K44" s="6"/>
    </row>
    <row r="46" customFormat="false" ht="15" hidden="false" customHeight="false" outlineLevel="0" collapsed="false">
      <c r="A46" s="30" t="n">
        <f aca="false">$A8</f>
        <v>0.055</v>
      </c>
      <c r="B46" s="26" t="n">
        <f aca="false">'Cash flows'!B28</f>
        <v>-13834920</v>
      </c>
      <c r="C46" s="26" t="n">
        <f aca="false">'Cash flows'!C28</f>
        <v>-1108947.292</v>
      </c>
      <c r="D46" s="26" t="n">
        <f aca="false">'Cash flows'!D28</f>
        <v>233216.832</v>
      </c>
      <c r="E46" s="26" t="n">
        <f aca="false">'Cash flows'!E28</f>
        <v>463849.15772</v>
      </c>
      <c r="F46" s="26" t="n">
        <f aca="false">'Cash flows'!F28</f>
        <v>999052.6252437</v>
      </c>
      <c r="G46" s="26" t="n">
        <f aca="false">'Cash flows'!G28</f>
        <v>1218241.6421073</v>
      </c>
      <c r="H46" s="26" t="n">
        <f aca="false">'Cash flows'!H28</f>
        <v>1172328.43601717</v>
      </c>
      <c r="I46" s="26" t="n">
        <f aca="false">'Cash flows'!I28</f>
        <v>1378950.38170992</v>
      </c>
      <c r="J46" s="26" t="n">
        <f aca="false">'Cash flows'!J28</f>
        <v>973151.086037178</v>
      </c>
      <c r="K46" s="26" t="n">
        <f aca="false">'Cash flows'!K28</f>
        <v>1413527.56349119</v>
      </c>
      <c r="L46" s="26" t="n">
        <f aca="false">D8</f>
        <v>30855720.1573082</v>
      </c>
    </row>
    <row r="47" customFormat="false" ht="15" hidden="false" customHeight="false" outlineLevel="0" collapsed="false">
      <c r="A47" s="30" t="n">
        <f aca="false">$A9</f>
        <v>0.0575</v>
      </c>
      <c r="B47" s="26" t="n">
        <f aca="false">'Cash flows'!B28</f>
        <v>-13834920</v>
      </c>
      <c r="C47" s="26" t="n">
        <f aca="false">'Cash flows'!C28</f>
        <v>-1108947.292</v>
      </c>
      <c r="D47" s="26" t="n">
        <f aca="false">'Cash flows'!D28</f>
        <v>233216.832</v>
      </c>
      <c r="E47" s="26" t="n">
        <f aca="false">'Cash flows'!E28</f>
        <v>463849.15772</v>
      </c>
      <c r="F47" s="26" t="n">
        <f aca="false">'Cash flows'!F28</f>
        <v>999052.6252437</v>
      </c>
      <c r="G47" s="26" t="n">
        <f aca="false">'Cash flows'!G28</f>
        <v>1218241.6421073</v>
      </c>
      <c r="H47" s="26" t="n">
        <f aca="false">'Cash flows'!H28</f>
        <v>1172328.43601717</v>
      </c>
      <c r="I47" s="26" t="n">
        <f aca="false">'Cash flows'!I28</f>
        <v>1378950.38170992</v>
      </c>
      <c r="J47" s="26" t="n">
        <f aca="false">'Cash flows'!J28</f>
        <v>973151.086037178</v>
      </c>
      <c r="K47" s="26" t="n">
        <f aca="false">'Cash flows'!K28</f>
        <v>1413527.56349119</v>
      </c>
      <c r="L47" s="26" t="n">
        <f aca="false">D9</f>
        <v>28940579.5251809</v>
      </c>
    </row>
    <row r="48" customFormat="false" ht="15" hidden="false" customHeight="false" outlineLevel="0" collapsed="false">
      <c r="A48" s="30" t="n">
        <f aca="false">$A10</f>
        <v>0.06</v>
      </c>
      <c r="B48" s="26" t="n">
        <f aca="false">'Cash flows'!B28</f>
        <v>-13834920</v>
      </c>
      <c r="C48" s="26" t="n">
        <f aca="false">'Cash flows'!C28</f>
        <v>-1108947.292</v>
      </c>
      <c r="D48" s="26" t="n">
        <f aca="false">'Cash flows'!D28</f>
        <v>233216.832</v>
      </c>
      <c r="E48" s="26" t="n">
        <f aca="false">'Cash flows'!E28</f>
        <v>463849.15772</v>
      </c>
      <c r="F48" s="26" t="n">
        <f aca="false">'Cash flows'!F28</f>
        <v>999052.6252437</v>
      </c>
      <c r="G48" s="26" t="n">
        <f aca="false">'Cash flows'!G28</f>
        <v>1218241.6421073</v>
      </c>
      <c r="H48" s="26" t="n">
        <f aca="false">'Cash flows'!H28</f>
        <v>1172328.43601717</v>
      </c>
      <c r="I48" s="26" t="n">
        <f aca="false">'Cash flows'!I28</f>
        <v>1378950.38170992</v>
      </c>
      <c r="J48" s="26" t="n">
        <f aca="false">'Cash flows'!J28</f>
        <v>973151.086037178</v>
      </c>
      <c r="K48" s="26" t="n">
        <f aca="false">'Cash flows'!K28</f>
        <v>1413527.56349119</v>
      </c>
      <c r="L48" s="26" t="n">
        <f aca="false">D10</f>
        <v>27185033.9457309</v>
      </c>
    </row>
    <row r="49" customFormat="false" ht="15" hidden="false" customHeight="false" outlineLevel="0" collapsed="false">
      <c r="A49" s="30" t="n">
        <f aca="false">$A11</f>
        <v>0.0625</v>
      </c>
      <c r="B49" s="26" t="n">
        <f aca="false">'Cash flows'!B28</f>
        <v>-13834920</v>
      </c>
      <c r="C49" s="26" t="n">
        <f aca="false">'Cash flows'!C28</f>
        <v>-1108947.292</v>
      </c>
      <c r="D49" s="26" t="n">
        <f aca="false">'Cash flows'!D28</f>
        <v>233216.832</v>
      </c>
      <c r="E49" s="26" t="n">
        <f aca="false">'Cash flows'!E28</f>
        <v>463849.15772</v>
      </c>
      <c r="F49" s="26" t="n">
        <f aca="false">'Cash flows'!F28</f>
        <v>999052.6252437</v>
      </c>
      <c r="G49" s="26" t="n">
        <f aca="false">'Cash flows'!G28</f>
        <v>1218241.6421073</v>
      </c>
      <c r="H49" s="26" t="n">
        <f aca="false">'Cash flows'!H28</f>
        <v>1172328.43601717</v>
      </c>
      <c r="I49" s="26" t="n">
        <f aca="false">'Cash flows'!I28</f>
        <v>1378950.38170992</v>
      </c>
      <c r="J49" s="26" t="n">
        <f aca="false">'Cash flows'!J28</f>
        <v>973151.086037178</v>
      </c>
      <c r="K49" s="26" t="n">
        <f aca="false">'Cash flows'!K28</f>
        <v>1413527.56349119</v>
      </c>
      <c r="L49" s="26" t="n">
        <f aca="false">D11</f>
        <v>25569932.0126368</v>
      </c>
    </row>
    <row r="50" customFormat="false" ht="15" hidden="false" customHeight="false" outlineLevel="0" collapsed="false">
      <c r="A50" s="30" t="n">
        <f aca="false">$A12</f>
        <v>0.065</v>
      </c>
      <c r="B50" s="26" t="n">
        <f aca="false">'Cash flows'!B28</f>
        <v>-13834920</v>
      </c>
      <c r="C50" s="26" t="n">
        <f aca="false">'Cash flows'!C28</f>
        <v>-1108947.292</v>
      </c>
      <c r="D50" s="26" t="n">
        <f aca="false">'Cash flows'!D28</f>
        <v>233216.832</v>
      </c>
      <c r="E50" s="26" t="n">
        <f aca="false">'Cash flows'!E28</f>
        <v>463849.15772</v>
      </c>
      <c r="F50" s="26" t="n">
        <f aca="false">'Cash flows'!F28</f>
        <v>999052.6252437</v>
      </c>
      <c r="G50" s="26" t="n">
        <f aca="false">'Cash flows'!G28</f>
        <v>1218241.6421073</v>
      </c>
      <c r="H50" s="26" t="n">
        <f aca="false">'Cash flows'!H28</f>
        <v>1172328.43601717</v>
      </c>
      <c r="I50" s="26" t="n">
        <f aca="false">'Cash flows'!I28</f>
        <v>1378950.38170992</v>
      </c>
      <c r="J50" s="26" t="n">
        <f aca="false">'Cash flows'!J28</f>
        <v>973151.086037178</v>
      </c>
      <c r="K50" s="26" t="n">
        <f aca="false">'Cash flows'!K28</f>
        <v>1413527.56349119</v>
      </c>
      <c r="L50" s="26" t="n">
        <f aca="false">D12</f>
        <v>24079068.6897808</v>
      </c>
    </row>
    <row r="51" customFormat="false" ht="15" hidden="false" customHeight="false" outlineLevel="0" collapsed="false">
      <c r="A51" s="30" t="n">
        <f aca="false">$A13</f>
        <v>0.0665</v>
      </c>
      <c r="B51" s="26" t="n">
        <f aca="false">'Cash flows'!B28</f>
        <v>-13834920</v>
      </c>
      <c r="C51" s="26" t="n">
        <f aca="false">'Cash flows'!C28</f>
        <v>-1108947.292</v>
      </c>
      <c r="D51" s="26" t="n">
        <f aca="false">'Cash flows'!D28</f>
        <v>233216.832</v>
      </c>
      <c r="E51" s="26" t="n">
        <f aca="false">'Cash flows'!E28</f>
        <v>463849.15772</v>
      </c>
      <c r="F51" s="26" t="n">
        <f aca="false">'Cash flows'!F28</f>
        <v>999052.6252437</v>
      </c>
      <c r="G51" s="26" t="n">
        <f aca="false">'Cash flows'!G28</f>
        <v>1218241.6421073</v>
      </c>
      <c r="H51" s="26" t="n">
        <f aca="false">'Cash flows'!H28</f>
        <v>1172328.43601717</v>
      </c>
      <c r="I51" s="26" t="n">
        <f aca="false">'Cash flows'!I28</f>
        <v>1378950.38170992</v>
      </c>
      <c r="J51" s="26" t="n">
        <f aca="false">'Cash flows'!J28</f>
        <v>973151.086037178</v>
      </c>
      <c r="K51" s="26" t="n">
        <f aca="false">'Cash flows'!K28</f>
        <v>1413527.56349119</v>
      </c>
      <c r="L51" s="26" t="n">
        <f aca="false">D13</f>
        <v>23238356.289674</v>
      </c>
    </row>
    <row r="52" customFormat="false" ht="15" hidden="false" customHeight="false" outlineLevel="0" collapsed="false">
      <c r="A52" s="30" t="n">
        <f aca="false">$A14</f>
        <v>0.07</v>
      </c>
      <c r="B52" s="26" t="n">
        <f aca="false">'Cash flows'!B28</f>
        <v>-13834920</v>
      </c>
      <c r="C52" s="26" t="n">
        <f aca="false">'Cash flows'!C28</f>
        <v>-1108947.292</v>
      </c>
      <c r="D52" s="26" t="n">
        <f aca="false">'Cash flows'!D28</f>
        <v>233216.832</v>
      </c>
      <c r="E52" s="26" t="n">
        <f aca="false">'Cash flows'!E28</f>
        <v>463849.15772</v>
      </c>
      <c r="F52" s="26" t="n">
        <f aca="false">'Cash flows'!F28</f>
        <v>999052.6252437</v>
      </c>
      <c r="G52" s="26" t="n">
        <f aca="false">'Cash flows'!G28</f>
        <v>1218241.6421073</v>
      </c>
      <c r="H52" s="26" t="n">
        <f aca="false">'Cash flows'!H28</f>
        <v>1172328.43601717</v>
      </c>
      <c r="I52" s="26" t="n">
        <f aca="false">'Cash flows'!I28</f>
        <v>1378950.38170992</v>
      </c>
      <c r="J52" s="26" t="n">
        <f aca="false">'Cash flows'!J28</f>
        <v>973151.086037178</v>
      </c>
      <c r="K52" s="26" t="n">
        <f aca="false">'Cash flows'!K28</f>
        <v>1413527.56349119</v>
      </c>
      <c r="L52" s="26" t="n">
        <f aca="false">D14</f>
        <v>21416812.7561092</v>
      </c>
    </row>
    <row r="53" customFormat="false" ht="15" hidden="false" customHeight="false" outlineLevel="0" collapsed="false">
      <c r="A53" s="30" t="n">
        <f aca="false">$A15</f>
        <v>0.0725</v>
      </c>
      <c r="B53" s="26" t="n">
        <f aca="false">'Cash flows'!B28</f>
        <v>-13834920</v>
      </c>
      <c r="C53" s="26" t="n">
        <f aca="false">'Cash flows'!C28</f>
        <v>-1108947.292</v>
      </c>
      <c r="D53" s="26" t="n">
        <f aca="false">'Cash flows'!D28</f>
        <v>233216.832</v>
      </c>
      <c r="E53" s="26" t="n">
        <f aca="false">'Cash flows'!E28</f>
        <v>463849.15772</v>
      </c>
      <c r="F53" s="26" t="n">
        <f aca="false">'Cash flows'!F28</f>
        <v>999052.6252437</v>
      </c>
      <c r="G53" s="26" t="n">
        <f aca="false">'Cash flows'!G28</f>
        <v>1218241.6421073</v>
      </c>
      <c r="H53" s="26" t="n">
        <f aca="false">'Cash flows'!H28</f>
        <v>1172328.43601717</v>
      </c>
      <c r="I53" s="26" t="n">
        <f aca="false">'Cash flows'!I28</f>
        <v>1378950.38170992</v>
      </c>
      <c r="J53" s="26" t="n">
        <f aca="false">'Cash flows'!J28</f>
        <v>973151.086037178</v>
      </c>
      <c r="K53" s="26" t="n">
        <f aca="false">'Cash flows'!K28</f>
        <v>1413527.56349119</v>
      </c>
      <c r="L53" s="26" t="n">
        <f aca="false">D15</f>
        <v>20223387.6823944</v>
      </c>
    </row>
    <row r="54" customFormat="false" ht="15" hidden="false" customHeight="false" outlineLevel="0" collapsed="false">
      <c r="A54" s="30" t="n">
        <f aca="false">$A16</f>
        <v>0.075</v>
      </c>
      <c r="B54" s="26" t="n">
        <f aca="false">'Cash flows'!B28</f>
        <v>-13834920</v>
      </c>
      <c r="C54" s="26" t="n">
        <f aca="false">'Cash flows'!C28</f>
        <v>-1108947.292</v>
      </c>
      <c r="D54" s="26" t="n">
        <f aca="false">'Cash flows'!D28</f>
        <v>233216.832</v>
      </c>
      <c r="E54" s="26" t="n">
        <f aca="false">'Cash flows'!E28</f>
        <v>463849.15772</v>
      </c>
      <c r="F54" s="26" t="n">
        <f aca="false">'Cash flows'!F28</f>
        <v>999052.6252437</v>
      </c>
      <c r="G54" s="26" t="n">
        <f aca="false">'Cash flows'!G28</f>
        <v>1218241.6421073</v>
      </c>
      <c r="H54" s="26" t="n">
        <f aca="false">'Cash flows'!H28</f>
        <v>1172328.43601717</v>
      </c>
      <c r="I54" s="26" t="n">
        <f aca="false">'Cash flows'!I28</f>
        <v>1378950.38170992</v>
      </c>
      <c r="J54" s="26" t="n">
        <f aca="false">'Cash flows'!J28</f>
        <v>973151.086037178</v>
      </c>
      <c r="K54" s="26" t="n">
        <f aca="false">'Cash flows'!K28</f>
        <v>1413527.56349119</v>
      </c>
      <c r="L54" s="26" t="n">
        <f aca="false">D16</f>
        <v>19109524.2802606</v>
      </c>
    </row>
    <row r="55" customFormat="false" ht="15" hidden="false" customHeight="false" outlineLevel="0" collapsed="false">
      <c r="A55" s="30" t="n">
        <f aca="false">$A17</f>
        <v>0.0775</v>
      </c>
      <c r="B55" s="26" t="n">
        <f aca="false">'Cash flows'!B28</f>
        <v>-13834920</v>
      </c>
      <c r="C55" s="26" t="n">
        <f aca="false">'Cash flows'!C28</f>
        <v>-1108947.292</v>
      </c>
      <c r="D55" s="26" t="n">
        <f aca="false">'Cash flows'!D28</f>
        <v>233216.832</v>
      </c>
      <c r="E55" s="26" t="n">
        <f aca="false">'Cash flows'!E28</f>
        <v>463849.15772</v>
      </c>
      <c r="F55" s="26" t="n">
        <f aca="false">'Cash flows'!F28</f>
        <v>999052.6252437</v>
      </c>
      <c r="G55" s="26" t="n">
        <f aca="false">'Cash flows'!G28</f>
        <v>1218241.6421073</v>
      </c>
      <c r="H55" s="26" t="n">
        <f aca="false">'Cash flows'!H28</f>
        <v>1172328.43601717</v>
      </c>
      <c r="I55" s="26" t="n">
        <f aca="false">'Cash flows'!I28</f>
        <v>1378950.38170992</v>
      </c>
      <c r="J55" s="26" t="n">
        <f aca="false">'Cash flows'!J28</f>
        <v>973151.086037178</v>
      </c>
      <c r="K55" s="26" t="n">
        <f aca="false">'Cash flows'!K28</f>
        <v>1413527.56349119</v>
      </c>
      <c r="L55" s="26" t="n">
        <f aca="false">D17</f>
        <v>18067523.0331031</v>
      </c>
    </row>
    <row r="56" customFormat="false" ht="15" hidden="false" customHeight="false" outlineLevel="0" collapsed="false">
      <c r="A56" s="30" t="n">
        <f aca="false">$A18</f>
        <v>0.08</v>
      </c>
      <c r="B56" s="26" t="n">
        <f aca="false">'Cash flows'!B28</f>
        <v>-13834920</v>
      </c>
      <c r="C56" s="26" t="n">
        <f aca="false">'Cash flows'!C28</f>
        <v>-1108947.292</v>
      </c>
      <c r="D56" s="26" t="n">
        <f aca="false">'Cash flows'!D28</f>
        <v>233216.832</v>
      </c>
      <c r="E56" s="26" t="n">
        <f aca="false">'Cash flows'!E28</f>
        <v>463849.15772</v>
      </c>
      <c r="F56" s="26" t="n">
        <f aca="false">'Cash flows'!F28</f>
        <v>999052.6252437</v>
      </c>
      <c r="G56" s="26" t="n">
        <f aca="false">'Cash flows'!G28</f>
        <v>1218241.6421073</v>
      </c>
      <c r="H56" s="26" t="n">
        <f aca="false">'Cash flows'!H28</f>
        <v>1172328.43601717</v>
      </c>
      <c r="I56" s="26" t="n">
        <f aca="false">'Cash flows'!I28</f>
        <v>1378950.38170992</v>
      </c>
      <c r="J56" s="26" t="n">
        <f aca="false">'Cash flows'!J28</f>
        <v>973151.086037178</v>
      </c>
      <c r="K56" s="26" t="n">
        <f aca="false">'Cash flows'!K28</f>
        <v>1413527.56349119</v>
      </c>
      <c r="L56" s="26" t="n">
        <f aca="false">D18</f>
        <v>17090646.863893</v>
      </c>
    </row>
    <row r="57" customFormat="false" ht="15" hidden="false" customHeight="false" outlineLevel="0" collapsed="false">
      <c r="A57" s="30" t="n">
        <f aca="false">$A19</f>
        <v>0.085</v>
      </c>
      <c r="B57" s="26" t="n">
        <f aca="false">'Cash flows'!B28</f>
        <v>-13834920</v>
      </c>
      <c r="C57" s="26" t="n">
        <f aca="false">'Cash flows'!C28</f>
        <v>-1108947.292</v>
      </c>
      <c r="D57" s="26" t="n">
        <f aca="false">'Cash flows'!D28</f>
        <v>233216.832</v>
      </c>
      <c r="E57" s="26" t="n">
        <f aca="false">'Cash flows'!E28</f>
        <v>463849.15772</v>
      </c>
      <c r="F57" s="26" t="n">
        <f aca="false">'Cash flows'!F28</f>
        <v>999052.6252437</v>
      </c>
      <c r="G57" s="26" t="n">
        <f aca="false">'Cash flows'!G28</f>
        <v>1218241.6421073</v>
      </c>
      <c r="H57" s="26" t="n">
        <f aca="false">'Cash flows'!H28</f>
        <v>1172328.43601717</v>
      </c>
      <c r="I57" s="26" t="n">
        <f aca="false">'Cash flows'!I28</f>
        <v>1378950.38170992</v>
      </c>
      <c r="J57" s="26" t="n">
        <f aca="false">'Cash flows'!J28</f>
        <v>973151.086037178</v>
      </c>
      <c r="K57" s="26" t="n">
        <f aca="false">'Cash flows'!K28</f>
        <v>1413527.56349119</v>
      </c>
      <c r="L57" s="26" t="n">
        <f aca="false">D19</f>
        <v>15309284.4376864</v>
      </c>
    </row>
    <row r="58" customFormat="false" ht="15" hidden="false" customHeight="false" outlineLevel="0" collapsed="false">
      <c r="A58" s="30" t="n">
        <f aca="false">$A20</f>
        <v>0.0705545146098141</v>
      </c>
      <c r="B58" s="26" t="n">
        <f aca="false">'Cash flows'!B28</f>
        <v>-13834920</v>
      </c>
      <c r="C58" s="26" t="n">
        <f aca="false">'Cash flows'!C28</f>
        <v>-1108947.292</v>
      </c>
      <c r="D58" s="26" t="n">
        <f aca="false">'Cash flows'!D28</f>
        <v>233216.832</v>
      </c>
      <c r="E58" s="26" t="n">
        <f aca="false">'Cash flows'!E28</f>
        <v>463849.15772</v>
      </c>
      <c r="F58" s="26" t="n">
        <f aca="false">'Cash flows'!F28</f>
        <v>999052.6252437</v>
      </c>
      <c r="G58" s="26" t="n">
        <f aca="false">'Cash flows'!G28</f>
        <v>1218241.6421073</v>
      </c>
      <c r="H58" s="26" t="n">
        <f aca="false">'Cash flows'!H28</f>
        <v>1172328.43601717</v>
      </c>
      <c r="I58" s="26" t="n">
        <f aca="false">'Cash flows'!I28</f>
        <v>1378950.38170992</v>
      </c>
      <c r="J58" s="26" t="n">
        <f aca="false">'Cash flows'!J28</f>
        <v>973151.086037178</v>
      </c>
      <c r="K58" s="26" t="n">
        <f aca="false">'Cash flows'!K28</f>
        <v>1413527.56349119</v>
      </c>
      <c r="L58" s="26" t="n">
        <f aca="false">D20</f>
        <v>21144804.9669572</v>
      </c>
    </row>
    <row r="59" customFormat="false" ht="15" hidden="false" customHeight="false" outlineLevel="0" collapsed="false">
      <c r="A59" s="30" t="n">
        <f aca="false">$A21</f>
        <v>0.0698530099985244</v>
      </c>
      <c r="B59" s="26" t="n">
        <f aca="false">'Cash flows'!B28</f>
        <v>-13834920</v>
      </c>
      <c r="C59" s="26" t="n">
        <f aca="false">'Cash flows'!C28</f>
        <v>-1108947.292</v>
      </c>
      <c r="D59" s="26" t="n">
        <f aca="false">'Cash flows'!D28</f>
        <v>233216.832</v>
      </c>
      <c r="E59" s="26" t="n">
        <f aca="false">'Cash flows'!E28</f>
        <v>463849.15772</v>
      </c>
      <c r="F59" s="26" t="n">
        <f aca="false">'Cash flows'!F28</f>
        <v>999052.6252437</v>
      </c>
      <c r="G59" s="26" t="n">
        <f aca="false">'Cash flows'!G28</f>
        <v>1218241.6421073</v>
      </c>
      <c r="H59" s="26" t="n">
        <f aca="false">'Cash flows'!H28</f>
        <v>1172328.43601717</v>
      </c>
      <c r="I59" s="26" t="n">
        <f aca="false">'Cash flows'!I28</f>
        <v>1378950.38170992</v>
      </c>
      <c r="J59" s="26" t="n">
        <f aca="false">'Cash flows'!J28</f>
        <v>973151.086037178</v>
      </c>
      <c r="K59" s="26" t="n">
        <f aca="false">'Cash flows'!K28</f>
        <v>1413527.56349119</v>
      </c>
      <c r="L59" s="26" t="n">
        <f aca="false">D21</f>
        <v>21489640.3271352</v>
      </c>
    </row>
    <row r="63" customFormat="false" ht="15" hidden="false" customHeight="false" outlineLevel="0" collapsed="false">
      <c r="A63" s="4" t="s">
        <v>186</v>
      </c>
      <c r="B63" s="6"/>
      <c r="C63" s="6"/>
      <c r="D63" s="6"/>
      <c r="E63" s="6"/>
      <c r="F63" s="6"/>
      <c r="G63" s="6"/>
      <c r="H63" s="6"/>
      <c r="I63" s="6"/>
      <c r="J63" s="6"/>
      <c r="K63" s="6"/>
    </row>
    <row r="64" customFormat="false" ht="15" hidden="false" customHeight="false" outlineLevel="0" collapsed="false">
      <c r="A64" s="18" t="s">
        <v>187</v>
      </c>
    </row>
    <row r="65" customFormat="false" ht="15" hidden="false" customHeight="false" outlineLevel="0" collapsed="false">
      <c r="A65" s="30" t="n">
        <f aca="false">$A8</f>
        <v>0.055</v>
      </c>
      <c r="B65" s="26" t="n">
        <f aca="false">Waterfall!B21</f>
        <v>-13834920</v>
      </c>
      <c r="C65" s="26" t="n">
        <f aca="false">Waterfall!C21</f>
        <v>-1108947.292</v>
      </c>
      <c r="D65" s="26" t="n">
        <f aca="false">Waterfall!D21</f>
        <v>233216.832</v>
      </c>
      <c r="E65" s="26" t="n">
        <f aca="false">Waterfall!E21</f>
        <v>463849.15772</v>
      </c>
      <c r="F65" s="26" t="n">
        <f aca="false">Waterfall!F21</f>
        <v>999052.6252437</v>
      </c>
      <c r="G65" s="26" t="n">
        <f aca="false">Waterfall!G21</f>
        <v>1218241.6421073</v>
      </c>
      <c r="H65" s="26" t="n">
        <f aca="false">Waterfall!H21</f>
        <v>1172328.43601717</v>
      </c>
      <c r="I65" s="26" t="n">
        <f aca="false">Waterfall!I21</f>
        <v>1378950.38170992</v>
      </c>
      <c r="J65" s="26" t="n">
        <f aca="false">Waterfall!J21</f>
        <v>973151.086037178</v>
      </c>
      <c r="K65" s="26" t="n">
        <f aca="false">Waterfall!K21</f>
        <v>1413527.56349119</v>
      </c>
      <c r="L65" s="26" t="n">
        <f aca="false">D8-H8</f>
        <v>26102886.0393813</v>
      </c>
    </row>
    <row r="66" customFormat="false" ht="15" hidden="false" customHeight="false" outlineLevel="0" collapsed="false">
      <c r="A66" s="30" t="n">
        <f aca="false">$A9</f>
        <v>0.0575</v>
      </c>
      <c r="B66" s="26" t="n">
        <f aca="false">Waterfall!B21</f>
        <v>-13834920</v>
      </c>
      <c r="C66" s="26" t="n">
        <f aca="false">Waterfall!C21</f>
        <v>-1108947.292</v>
      </c>
      <c r="D66" s="26" t="n">
        <f aca="false">Waterfall!D21</f>
        <v>233216.832</v>
      </c>
      <c r="E66" s="26" t="n">
        <f aca="false">Waterfall!E21</f>
        <v>463849.15772</v>
      </c>
      <c r="F66" s="26" t="n">
        <f aca="false">Waterfall!F21</f>
        <v>999052.6252437</v>
      </c>
      <c r="G66" s="26" t="n">
        <f aca="false">Waterfall!G21</f>
        <v>1218241.6421073</v>
      </c>
      <c r="H66" s="26" t="n">
        <f aca="false">Waterfall!H21</f>
        <v>1172328.43601717</v>
      </c>
      <c r="I66" s="26" t="n">
        <f aca="false">Waterfall!I21</f>
        <v>1378950.38170992</v>
      </c>
      <c r="J66" s="26" t="n">
        <f aca="false">Waterfall!J21</f>
        <v>973151.086037178</v>
      </c>
      <c r="K66" s="26" t="n">
        <f aca="false">Waterfall!K21</f>
        <v>1413527.56349119</v>
      </c>
      <c r="L66" s="26" t="n">
        <f aca="false">D9-H9</f>
        <v>24570773.5336794</v>
      </c>
    </row>
    <row r="67" customFormat="false" ht="15" hidden="false" customHeight="false" outlineLevel="0" collapsed="false">
      <c r="A67" s="30" t="n">
        <f aca="false">$A10</f>
        <v>0.06</v>
      </c>
      <c r="B67" s="26" t="n">
        <f aca="false">Waterfall!B21</f>
        <v>-13834920</v>
      </c>
      <c r="C67" s="26" t="n">
        <f aca="false">Waterfall!C21</f>
        <v>-1108947.292</v>
      </c>
      <c r="D67" s="26" t="n">
        <f aca="false">Waterfall!D21</f>
        <v>233216.832</v>
      </c>
      <c r="E67" s="26" t="n">
        <f aca="false">Waterfall!E21</f>
        <v>463849.15772</v>
      </c>
      <c r="F67" s="26" t="n">
        <f aca="false">Waterfall!F21</f>
        <v>999052.6252437</v>
      </c>
      <c r="G67" s="26" t="n">
        <f aca="false">Waterfall!G21</f>
        <v>1218241.6421073</v>
      </c>
      <c r="H67" s="26" t="n">
        <f aca="false">Waterfall!H21</f>
        <v>1172328.43601717</v>
      </c>
      <c r="I67" s="26" t="n">
        <f aca="false">Waterfall!I21</f>
        <v>1378950.38170992</v>
      </c>
      <c r="J67" s="26" t="n">
        <f aca="false">Waterfall!J21</f>
        <v>973151.086037178</v>
      </c>
      <c r="K67" s="26" t="n">
        <f aca="false">Waterfall!K21</f>
        <v>1413527.56349119</v>
      </c>
      <c r="L67" s="26" t="n">
        <f aca="false">D10-H10</f>
        <v>23166337.0701194</v>
      </c>
    </row>
    <row r="68" customFormat="false" ht="15" hidden="false" customHeight="false" outlineLevel="0" collapsed="false">
      <c r="A68" s="30" t="n">
        <f aca="false">$A11</f>
        <v>0.0625</v>
      </c>
      <c r="B68" s="26" t="n">
        <f aca="false">Waterfall!B21</f>
        <v>-13834920</v>
      </c>
      <c r="C68" s="26" t="n">
        <f aca="false">Waterfall!C21</f>
        <v>-1108947.292</v>
      </c>
      <c r="D68" s="26" t="n">
        <f aca="false">Waterfall!D21</f>
        <v>233216.832</v>
      </c>
      <c r="E68" s="26" t="n">
        <f aca="false">Waterfall!E21</f>
        <v>463849.15772</v>
      </c>
      <c r="F68" s="26" t="n">
        <f aca="false">Waterfall!F21</f>
        <v>999052.6252437</v>
      </c>
      <c r="G68" s="26" t="n">
        <f aca="false">Waterfall!G21</f>
        <v>1218241.6421073</v>
      </c>
      <c r="H68" s="26" t="n">
        <f aca="false">Waterfall!H21</f>
        <v>1172328.43601717</v>
      </c>
      <c r="I68" s="26" t="n">
        <f aca="false">Waterfall!I21</f>
        <v>1378950.38170992</v>
      </c>
      <c r="J68" s="26" t="n">
        <f aca="false">Waterfall!J21</f>
        <v>973151.086037178</v>
      </c>
      <c r="K68" s="26" t="n">
        <f aca="false">Waterfall!K21</f>
        <v>1413527.56349119</v>
      </c>
      <c r="L68" s="26" t="n">
        <f aca="false">D11-H11</f>
        <v>21874255.5236442</v>
      </c>
    </row>
    <row r="69" customFormat="false" ht="15" hidden="false" customHeight="false" outlineLevel="0" collapsed="false">
      <c r="A69" s="30" t="n">
        <f aca="false">$A12</f>
        <v>0.065</v>
      </c>
      <c r="B69" s="26" t="n">
        <f aca="false">Waterfall!B21</f>
        <v>-13834920</v>
      </c>
      <c r="C69" s="26" t="n">
        <f aca="false">Waterfall!C21</f>
        <v>-1108947.292</v>
      </c>
      <c r="D69" s="26" t="n">
        <f aca="false">Waterfall!D21</f>
        <v>233216.832</v>
      </c>
      <c r="E69" s="26" t="n">
        <f aca="false">Waterfall!E21</f>
        <v>463849.15772</v>
      </c>
      <c r="F69" s="26" t="n">
        <f aca="false">Waterfall!F21</f>
        <v>999052.6252437</v>
      </c>
      <c r="G69" s="26" t="n">
        <f aca="false">Waterfall!G21</f>
        <v>1218241.6421073</v>
      </c>
      <c r="H69" s="26" t="n">
        <f aca="false">Waterfall!H21</f>
        <v>1172328.43601717</v>
      </c>
      <c r="I69" s="26" t="n">
        <f aca="false">Waterfall!I21</f>
        <v>1378950.38170992</v>
      </c>
      <c r="J69" s="26" t="n">
        <f aca="false">Waterfall!J21</f>
        <v>973151.086037178</v>
      </c>
      <c r="K69" s="26" t="n">
        <f aca="false">Waterfall!K21</f>
        <v>1413527.56349119</v>
      </c>
      <c r="L69" s="26" t="n">
        <f aca="false">D12-H12</f>
        <v>21489640.3271352</v>
      </c>
    </row>
    <row r="70" customFormat="false" ht="15" hidden="false" customHeight="false" outlineLevel="0" collapsed="false">
      <c r="A70" s="30" t="n">
        <f aca="false">$A13</f>
        <v>0.0665</v>
      </c>
      <c r="B70" s="26" t="n">
        <f aca="false">Waterfall!B21</f>
        <v>-13834920</v>
      </c>
      <c r="C70" s="26" t="n">
        <f aca="false">Waterfall!C21</f>
        <v>-1108947.292</v>
      </c>
      <c r="D70" s="26" t="n">
        <f aca="false">Waterfall!D21</f>
        <v>233216.832</v>
      </c>
      <c r="E70" s="26" t="n">
        <f aca="false">Waterfall!E21</f>
        <v>463849.15772</v>
      </c>
      <c r="F70" s="26" t="n">
        <f aca="false">Waterfall!F21</f>
        <v>999052.6252437</v>
      </c>
      <c r="G70" s="26" t="n">
        <f aca="false">Waterfall!G21</f>
        <v>1218241.6421073</v>
      </c>
      <c r="H70" s="26" t="n">
        <f aca="false">Waterfall!H21</f>
        <v>1172328.43601717</v>
      </c>
      <c r="I70" s="26" t="n">
        <f aca="false">Waterfall!I21</f>
        <v>1378950.38170992</v>
      </c>
      <c r="J70" s="26" t="n">
        <f aca="false">Waterfall!J21</f>
        <v>973151.086037178</v>
      </c>
      <c r="K70" s="26" t="n">
        <f aca="false">Waterfall!K21</f>
        <v>1413527.56349119</v>
      </c>
      <c r="L70" s="26" t="n">
        <f aca="false">D13-H13</f>
        <v>21489640.3271352</v>
      </c>
    </row>
    <row r="71" customFormat="false" ht="15" hidden="false" customHeight="false" outlineLevel="0" collapsed="false">
      <c r="A71" s="30" t="n">
        <f aca="false">$A14</f>
        <v>0.07</v>
      </c>
      <c r="B71" s="26" t="n">
        <f aca="false">Waterfall!B21</f>
        <v>-13834920</v>
      </c>
      <c r="C71" s="26" t="n">
        <f aca="false">Waterfall!C21</f>
        <v>-1108947.292</v>
      </c>
      <c r="D71" s="26" t="n">
        <f aca="false">Waterfall!D21</f>
        <v>233216.832</v>
      </c>
      <c r="E71" s="26" t="n">
        <f aca="false">Waterfall!E21</f>
        <v>463849.15772</v>
      </c>
      <c r="F71" s="26" t="n">
        <f aca="false">Waterfall!F21</f>
        <v>999052.6252437</v>
      </c>
      <c r="G71" s="26" t="n">
        <f aca="false">Waterfall!G21</f>
        <v>1218241.6421073</v>
      </c>
      <c r="H71" s="26" t="n">
        <f aca="false">Waterfall!H21</f>
        <v>1172328.43601717</v>
      </c>
      <c r="I71" s="26" t="n">
        <f aca="false">Waterfall!I21</f>
        <v>1378950.38170992</v>
      </c>
      <c r="J71" s="26" t="n">
        <f aca="false">Waterfall!J21</f>
        <v>973151.086037178</v>
      </c>
      <c r="K71" s="26" t="n">
        <f aca="false">Waterfall!K21</f>
        <v>1413527.56349119</v>
      </c>
      <c r="L71" s="26" t="n">
        <f aca="false">D14-H14</f>
        <v>21416812.7561092</v>
      </c>
    </row>
    <row r="72" customFormat="false" ht="15" hidden="false" customHeight="false" outlineLevel="0" collapsed="false">
      <c r="A72" s="30" t="n">
        <f aca="false">$A15</f>
        <v>0.0725</v>
      </c>
      <c r="B72" s="26" t="n">
        <f aca="false">Waterfall!B21</f>
        <v>-13834920</v>
      </c>
      <c r="C72" s="26" t="n">
        <f aca="false">Waterfall!C21</f>
        <v>-1108947.292</v>
      </c>
      <c r="D72" s="26" t="n">
        <f aca="false">Waterfall!D21</f>
        <v>233216.832</v>
      </c>
      <c r="E72" s="26" t="n">
        <f aca="false">Waterfall!E21</f>
        <v>463849.15772</v>
      </c>
      <c r="F72" s="26" t="n">
        <f aca="false">Waterfall!F21</f>
        <v>999052.6252437</v>
      </c>
      <c r="G72" s="26" t="n">
        <f aca="false">Waterfall!G21</f>
        <v>1218241.6421073</v>
      </c>
      <c r="H72" s="26" t="n">
        <f aca="false">Waterfall!H21</f>
        <v>1172328.43601717</v>
      </c>
      <c r="I72" s="26" t="n">
        <f aca="false">Waterfall!I21</f>
        <v>1378950.38170992</v>
      </c>
      <c r="J72" s="26" t="n">
        <f aca="false">Waterfall!J21</f>
        <v>973151.086037178</v>
      </c>
      <c r="K72" s="26" t="n">
        <f aca="false">Waterfall!K21</f>
        <v>1413527.56349119</v>
      </c>
      <c r="L72" s="26" t="n">
        <f aca="false">D15-H15</f>
        <v>20223387.6823944</v>
      </c>
    </row>
    <row r="73" customFormat="false" ht="15" hidden="false" customHeight="false" outlineLevel="0" collapsed="false">
      <c r="A73" s="30" t="n">
        <f aca="false">$A16</f>
        <v>0.075</v>
      </c>
      <c r="B73" s="26" t="n">
        <f aca="false">Waterfall!B21</f>
        <v>-13834920</v>
      </c>
      <c r="C73" s="26" t="n">
        <f aca="false">Waterfall!C21</f>
        <v>-1108947.292</v>
      </c>
      <c r="D73" s="26" t="n">
        <f aca="false">Waterfall!D21</f>
        <v>233216.832</v>
      </c>
      <c r="E73" s="26" t="n">
        <f aca="false">Waterfall!E21</f>
        <v>463849.15772</v>
      </c>
      <c r="F73" s="26" t="n">
        <f aca="false">Waterfall!F21</f>
        <v>999052.6252437</v>
      </c>
      <c r="G73" s="26" t="n">
        <f aca="false">Waterfall!G21</f>
        <v>1218241.6421073</v>
      </c>
      <c r="H73" s="26" t="n">
        <f aca="false">Waterfall!H21</f>
        <v>1172328.43601717</v>
      </c>
      <c r="I73" s="26" t="n">
        <f aca="false">Waterfall!I21</f>
        <v>1378950.38170992</v>
      </c>
      <c r="J73" s="26" t="n">
        <f aca="false">Waterfall!J21</f>
        <v>973151.086037178</v>
      </c>
      <c r="K73" s="26" t="n">
        <f aca="false">Waterfall!K21</f>
        <v>1413527.56349119</v>
      </c>
      <c r="L73" s="26" t="n">
        <f aca="false">D16-H16</f>
        <v>19109524.2802606</v>
      </c>
    </row>
    <row r="74" customFormat="false" ht="15" hidden="false" customHeight="false" outlineLevel="0" collapsed="false">
      <c r="A74" s="30" t="n">
        <f aca="false">$A17</f>
        <v>0.0775</v>
      </c>
      <c r="B74" s="26" t="n">
        <f aca="false">Waterfall!B21</f>
        <v>-13834920</v>
      </c>
      <c r="C74" s="26" t="n">
        <f aca="false">Waterfall!C21</f>
        <v>-1108947.292</v>
      </c>
      <c r="D74" s="26" t="n">
        <f aca="false">Waterfall!D21</f>
        <v>233216.832</v>
      </c>
      <c r="E74" s="26" t="n">
        <f aca="false">Waterfall!E21</f>
        <v>463849.15772</v>
      </c>
      <c r="F74" s="26" t="n">
        <f aca="false">Waterfall!F21</f>
        <v>999052.6252437</v>
      </c>
      <c r="G74" s="26" t="n">
        <f aca="false">Waterfall!G21</f>
        <v>1218241.6421073</v>
      </c>
      <c r="H74" s="26" t="n">
        <f aca="false">Waterfall!H21</f>
        <v>1172328.43601717</v>
      </c>
      <c r="I74" s="26" t="n">
        <f aca="false">Waterfall!I21</f>
        <v>1378950.38170992</v>
      </c>
      <c r="J74" s="26" t="n">
        <f aca="false">Waterfall!J21</f>
        <v>973151.086037178</v>
      </c>
      <c r="K74" s="26" t="n">
        <f aca="false">Waterfall!K21</f>
        <v>1413527.56349119</v>
      </c>
      <c r="L74" s="26" t="n">
        <f aca="false">D17-H17</f>
        <v>18067523.0331031</v>
      </c>
    </row>
    <row r="75" customFormat="false" ht="15" hidden="false" customHeight="false" outlineLevel="0" collapsed="false">
      <c r="A75" s="30" t="n">
        <f aca="false">$A18</f>
        <v>0.08</v>
      </c>
      <c r="B75" s="26" t="n">
        <f aca="false">Waterfall!B21</f>
        <v>-13834920</v>
      </c>
      <c r="C75" s="26" t="n">
        <f aca="false">Waterfall!C21</f>
        <v>-1108947.292</v>
      </c>
      <c r="D75" s="26" t="n">
        <f aca="false">Waterfall!D21</f>
        <v>233216.832</v>
      </c>
      <c r="E75" s="26" t="n">
        <f aca="false">Waterfall!E21</f>
        <v>463849.15772</v>
      </c>
      <c r="F75" s="26" t="n">
        <f aca="false">Waterfall!F21</f>
        <v>999052.6252437</v>
      </c>
      <c r="G75" s="26" t="n">
        <f aca="false">Waterfall!G21</f>
        <v>1218241.6421073</v>
      </c>
      <c r="H75" s="26" t="n">
        <f aca="false">Waterfall!H21</f>
        <v>1172328.43601717</v>
      </c>
      <c r="I75" s="26" t="n">
        <f aca="false">Waterfall!I21</f>
        <v>1378950.38170992</v>
      </c>
      <c r="J75" s="26" t="n">
        <f aca="false">Waterfall!J21</f>
        <v>973151.086037178</v>
      </c>
      <c r="K75" s="26" t="n">
        <f aca="false">Waterfall!K21</f>
        <v>1413527.56349119</v>
      </c>
      <c r="L75" s="26" t="n">
        <f aca="false">D18-H18</f>
        <v>17090646.863893</v>
      </c>
    </row>
    <row r="76" customFormat="false" ht="15" hidden="false" customHeight="false" outlineLevel="0" collapsed="false">
      <c r="A76" s="30" t="n">
        <f aca="false">$A19</f>
        <v>0.085</v>
      </c>
      <c r="B76" s="26" t="n">
        <f aca="false">Waterfall!B21</f>
        <v>-13834920</v>
      </c>
      <c r="C76" s="26" t="n">
        <f aca="false">Waterfall!C21</f>
        <v>-1108947.292</v>
      </c>
      <c r="D76" s="26" t="n">
        <f aca="false">Waterfall!D21</f>
        <v>233216.832</v>
      </c>
      <c r="E76" s="26" t="n">
        <f aca="false">Waterfall!E21</f>
        <v>463849.15772</v>
      </c>
      <c r="F76" s="26" t="n">
        <f aca="false">Waterfall!F21</f>
        <v>999052.6252437</v>
      </c>
      <c r="G76" s="26" t="n">
        <f aca="false">Waterfall!G21</f>
        <v>1218241.6421073</v>
      </c>
      <c r="H76" s="26" t="n">
        <f aca="false">Waterfall!H21</f>
        <v>1172328.43601717</v>
      </c>
      <c r="I76" s="26" t="n">
        <f aca="false">Waterfall!I21</f>
        <v>1378950.38170992</v>
      </c>
      <c r="J76" s="26" t="n">
        <f aca="false">Waterfall!J21</f>
        <v>973151.086037178</v>
      </c>
      <c r="K76" s="26" t="n">
        <f aca="false">Waterfall!K21</f>
        <v>1413527.56349119</v>
      </c>
      <c r="L76" s="26" t="n">
        <f aca="false">D19-H19</f>
        <v>15309284.4376864</v>
      </c>
    </row>
    <row r="77" customFormat="false" ht="15" hidden="false" customHeight="false" outlineLevel="0" collapsed="false">
      <c r="A77" s="30" t="n">
        <f aca="false">$A20</f>
        <v>0.0705545146098141</v>
      </c>
      <c r="B77" s="26" t="n">
        <f aca="false">Waterfall!B21</f>
        <v>-13834920</v>
      </c>
      <c r="C77" s="26" t="n">
        <f aca="false">Waterfall!C21</f>
        <v>-1108947.292</v>
      </c>
      <c r="D77" s="26" t="n">
        <f aca="false">Waterfall!D21</f>
        <v>233216.832</v>
      </c>
      <c r="E77" s="26" t="n">
        <f aca="false">Waterfall!E21</f>
        <v>463849.15772</v>
      </c>
      <c r="F77" s="26" t="n">
        <f aca="false">Waterfall!F21</f>
        <v>999052.6252437</v>
      </c>
      <c r="G77" s="26" t="n">
        <f aca="false">Waterfall!G21</f>
        <v>1218241.6421073</v>
      </c>
      <c r="H77" s="26" t="n">
        <f aca="false">Waterfall!H21</f>
        <v>1172328.43601717</v>
      </c>
      <c r="I77" s="26" t="n">
        <f aca="false">Waterfall!I21</f>
        <v>1378950.38170992</v>
      </c>
      <c r="J77" s="26" t="n">
        <f aca="false">Waterfall!J21</f>
        <v>973151.086037178</v>
      </c>
      <c r="K77" s="26" t="n">
        <f aca="false">Waterfall!K21</f>
        <v>1413527.56349119</v>
      </c>
      <c r="L77" s="26" t="n">
        <f aca="false">D20-H20</f>
        <v>21144804.9669572</v>
      </c>
    </row>
    <row r="78" customFormat="false" ht="15" hidden="false" customHeight="false" outlineLevel="0" collapsed="false">
      <c r="A78" s="30" t="n">
        <f aca="false">$A21</f>
        <v>0.0698530099985244</v>
      </c>
      <c r="B78" s="26" t="n">
        <f aca="false">Waterfall!B21</f>
        <v>-13834920</v>
      </c>
      <c r="C78" s="26" t="n">
        <f aca="false">Waterfall!C21</f>
        <v>-1108947.292</v>
      </c>
      <c r="D78" s="26" t="n">
        <f aca="false">Waterfall!D21</f>
        <v>233216.832</v>
      </c>
      <c r="E78" s="26" t="n">
        <f aca="false">Waterfall!E21</f>
        <v>463849.15772</v>
      </c>
      <c r="F78" s="26" t="n">
        <f aca="false">Waterfall!F21</f>
        <v>999052.6252437</v>
      </c>
      <c r="G78" s="26" t="n">
        <f aca="false">Waterfall!G21</f>
        <v>1218241.6421073</v>
      </c>
      <c r="H78" s="26" t="n">
        <f aca="false">Waterfall!H21</f>
        <v>1172328.43601717</v>
      </c>
      <c r="I78" s="26" t="n">
        <f aca="false">Waterfall!I21</f>
        <v>1378950.38170992</v>
      </c>
      <c r="J78" s="26" t="n">
        <f aca="false">Waterfall!J21</f>
        <v>973151.086037178</v>
      </c>
      <c r="K78" s="26" t="n">
        <f aca="false">Waterfall!K21</f>
        <v>1413527.56349119</v>
      </c>
      <c r="L78" s="26" t="n">
        <f aca="false">D21-H21</f>
        <v>21489640.3271352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2"/>
    <col collapsed="false" customWidth="true" hidden="false" outlineLevel="0" max="12" min="2" style="0" width="14"/>
  </cols>
  <sheetData>
    <row r="1" customFormat="false" ht="24" hidden="false" customHeight="true" outlineLevel="0" collapsed="false">
      <c r="A1" s="1" t="s">
        <v>188</v>
      </c>
    </row>
    <row r="2" customFormat="false" ht="15" hidden="false" customHeight="false" outlineLevel="0" collapsed="false">
      <c r="A2" s="2" t="s">
        <v>189</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190</v>
      </c>
      <c r="B5" s="6"/>
      <c r="C5" s="6"/>
      <c r="D5" s="6"/>
      <c r="E5" s="6"/>
      <c r="F5" s="6"/>
      <c r="G5" s="6"/>
      <c r="H5" s="6"/>
      <c r="I5" s="6"/>
      <c r="J5" s="6"/>
      <c r="K5" s="6"/>
      <c r="L5" s="6"/>
    </row>
    <row r="7" customFormat="false" ht="15" hidden="false" customHeight="false" outlineLevel="0" collapsed="false">
      <c r="A7" s="24" t="s">
        <v>55</v>
      </c>
      <c r="B7" s="25" t="n">
        <v>0</v>
      </c>
      <c r="C7" s="25" t="n">
        <f aca="false">B7+1</f>
        <v>1</v>
      </c>
      <c r="D7" s="25" t="n">
        <f aca="false">C7+1</f>
        <v>2</v>
      </c>
      <c r="E7" s="25" t="n">
        <f aca="false">D7+1</f>
        <v>3</v>
      </c>
      <c r="F7" s="25" t="n">
        <f aca="false">E7+1</f>
        <v>4</v>
      </c>
      <c r="G7" s="25" t="n">
        <f aca="false">F7+1</f>
        <v>5</v>
      </c>
      <c r="H7" s="25" t="n">
        <f aca="false">G7+1</f>
        <v>6</v>
      </c>
      <c r="I7" s="25" t="n">
        <f aca="false">H7+1</f>
        <v>7</v>
      </c>
      <c r="J7" s="25" t="n">
        <f aca="false">I7+1</f>
        <v>8</v>
      </c>
      <c r="K7" s="25" t="n">
        <f aca="false">J7+1</f>
        <v>9</v>
      </c>
      <c r="L7" s="25" t="n">
        <f aca="false">K7+1</f>
        <v>10</v>
      </c>
    </row>
    <row r="8" customFormat="false" ht="15" hidden="false" customHeight="false" outlineLevel="0" collapsed="false">
      <c r="A8" s="7" t="s">
        <v>191</v>
      </c>
      <c r="B8" s="26" t="n">
        <f aca="false">'Cash flows'!B28</f>
        <v>-13834920</v>
      </c>
      <c r="C8" s="26" t="n">
        <f aca="false">'Cash flows'!C28</f>
        <v>-1108947.292</v>
      </c>
      <c r="D8" s="26" t="n">
        <f aca="false">'Cash flows'!D28</f>
        <v>233216.832</v>
      </c>
      <c r="E8" s="26" t="n">
        <f aca="false">'Cash flows'!E28</f>
        <v>463849.15772</v>
      </c>
      <c r="F8" s="26" t="n">
        <f aca="false">'Cash flows'!F28</f>
        <v>999052.6252437</v>
      </c>
      <c r="G8" s="26" t="n">
        <f aca="false">'Cash flows'!G28</f>
        <v>1218241.6421073</v>
      </c>
      <c r="H8" s="26" t="n">
        <f aca="false">'Cash flows'!H28</f>
        <v>1172328.43601717</v>
      </c>
      <c r="I8" s="26" t="n">
        <f aca="false">'Cash flows'!I28</f>
        <v>1378950.38170992</v>
      </c>
      <c r="J8" s="26" t="n">
        <f aca="false">'Cash flows'!J28</f>
        <v>973151.086037178</v>
      </c>
      <c r="K8" s="26" t="n">
        <f aca="false">'Cash flows'!K28</f>
        <v>1413527.56349119</v>
      </c>
      <c r="L8" s="26" t="n">
        <f aca="false">'Cash flows'!L28</f>
        <v>23238356.289674</v>
      </c>
    </row>
    <row r="9" customFormat="false" ht="15" hidden="false" customHeight="false" outlineLevel="0" collapsed="false">
      <c r="A9" s="31" t="s">
        <v>192</v>
      </c>
      <c r="B9" s="26" t="n">
        <f aca="false">0</f>
        <v>0</v>
      </c>
      <c r="C9" s="26" t="n">
        <f aca="false">B22</f>
        <v>13834920</v>
      </c>
      <c r="D9" s="26" t="n">
        <f aca="false">C22</f>
        <v>14943867.292</v>
      </c>
      <c r="E9" s="26" t="n">
        <f aca="false">D22</f>
        <v>14943867.292</v>
      </c>
      <c r="F9" s="26" t="n">
        <f aca="false">E22</f>
        <v>14943867.292</v>
      </c>
      <c r="G9" s="26" t="n">
        <f aca="false">F22</f>
        <v>14943867.292</v>
      </c>
      <c r="H9" s="26" t="n">
        <f aca="false">G22</f>
        <v>14943867.292</v>
      </c>
      <c r="I9" s="26" t="n">
        <f aca="false">H22</f>
        <v>14943867.292</v>
      </c>
      <c r="J9" s="26" t="n">
        <f aca="false">I22</f>
        <v>14943867.292</v>
      </c>
      <c r="K9" s="26" t="n">
        <f aca="false">J22</f>
        <v>14943867.292</v>
      </c>
      <c r="L9" s="26" t="n">
        <f aca="false">K22</f>
        <v>14943867.292</v>
      </c>
    </row>
    <row r="10" customFormat="false" ht="15" hidden="false" customHeight="false" outlineLevel="0" collapsed="false">
      <c r="A10" s="31" t="s">
        <v>193</v>
      </c>
      <c r="B10" s="26" t="n">
        <f aca="false">0</f>
        <v>0</v>
      </c>
      <c r="C10" s="26" t="n">
        <f aca="false">B23</f>
        <v>0</v>
      </c>
      <c r="D10" s="26" t="n">
        <f aca="false">C23</f>
        <v>1106793.6</v>
      </c>
      <c r="E10" s="26" t="n">
        <f aca="false">D23</f>
        <v>2157629.63936</v>
      </c>
      <c r="F10" s="26" t="n">
        <f aca="false">E23</f>
        <v>3061900.2361488</v>
      </c>
      <c r="G10" s="26" t="n">
        <f aca="false">F23</f>
        <v>3503309.013157</v>
      </c>
      <c r="H10" s="26" t="n">
        <f aca="false">G23</f>
        <v>3760841.47546226</v>
      </c>
      <c r="I10" s="26" t="n">
        <f aca="false">H23</f>
        <v>4084889.74084207</v>
      </c>
      <c r="J10" s="26" t="n">
        <f aca="false">I23</f>
        <v>4228239.92175951</v>
      </c>
      <c r="K10" s="26" t="n">
        <f aca="false">J23</f>
        <v>4788857.4128231</v>
      </c>
      <c r="L10" s="26" t="n">
        <f aca="false">K23</f>
        <v>4953947.82571776</v>
      </c>
    </row>
    <row r="11" customFormat="false" ht="15" hidden="false" customHeight="false" outlineLevel="0" collapsed="false">
      <c r="A11" s="31" t="s">
        <v>194</v>
      </c>
      <c r="B11" s="26" t="n">
        <f aca="false">0</f>
        <v>0</v>
      </c>
      <c r="C11" s="26" t="n">
        <f aca="false">(C9+C10)*Pref</f>
        <v>1106793.6</v>
      </c>
      <c r="D11" s="26" t="n">
        <f aca="false">(D9+D10)*Pref</f>
        <v>1284052.87136</v>
      </c>
      <c r="E11" s="26" t="n">
        <f aca="false">(E9+E10)*Pref</f>
        <v>1368119.7545088</v>
      </c>
      <c r="F11" s="26" t="n">
        <f aca="false">(F9+F10)*Pref</f>
        <v>1440461.4022519</v>
      </c>
      <c r="G11" s="26" t="n">
        <f aca="false">(G9+G10)*Pref</f>
        <v>1475774.10441256</v>
      </c>
      <c r="H11" s="26" t="n">
        <f aca="false">(H9+H10)*Pref</f>
        <v>1496376.70139698</v>
      </c>
      <c r="I11" s="26" t="n">
        <f aca="false">(I9+I10)*Pref</f>
        <v>1522300.56262737</v>
      </c>
      <c r="J11" s="26" t="n">
        <f aca="false">(J9+J10)*Pref</f>
        <v>1533768.57710076</v>
      </c>
      <c r="K11" s="26" t="n">
        <f aca="false">(K9+K10)*Pref</f>
        <v>1578617.97638585</v>
      </c>
      <c r="L11" s="26" t="n">
        <f aca="false">(L9+L10)*Pref</f>
        <v>1591825.20941742</v>
      </c>
    </row>
    <row r="12" customFormat="false" ht="15" hidden="false" customHeight="false" outlineLevel="0" collapsed="false">
      <c r="A12" s="31" t="s">
        <v>195</v>
      </c>
      <c r="B12" s="26" t="n">
        <f aca="false">0</f>
        <v>0</v>
      </c>
      <c r="C12" s="26" t="n">
        <f aca="false">IF(C8&lt;0,-C8*1,0)</f>
        <v>1108947.292</v>
      </c>
      <c r="D12" s="26" t="n">
        <f aca="false">IF(D8&lt;0,-D8*1,0)</f>
        <v>0</v>
      </c>
      <c r="E12" s="26" t="n">
        <f aca="false">IF(E8&lt;0,-E8*1,0)</f>
        <v>0</v>
      </c>
      <c r="F12" s="26" t="n">
        <f aca="false">IF(F8&lt;0,-F8*1,0)</f>
        <v>0</v>
      </c>
      <c r="G12" s="26" t="n">
        <f aca="false">IF(G8&lt;0,-G8*1,0)</f>
        <v>0</v>
      </c>
      <c r="H12" s="26" t="n">
        <f aca="false">IF(H8&lt;0,-H8*1,0)</f>
        <v>0</v>
      </c>
      <c r="I12" s="26" t="n">
        <f aca="false">IF(I8&lt;0,-I8*1,0)</f>
        <v>0</v>
      </c>
      <c r="J12" s="26" t="n">
        <f aca="false">IF(J8&lt;0,-J8*1,0)</f>
        <v>0</v>
      </c>
      <c r="K12" s="26" t="n">
        <f aca="false">IF(K8&lt;0,-K8*1,0)</f>
        <v>0</v>
      </c>
      <c r="L12" s="26" t="n">
        <f aca="false">IF(L8&lt;0,-L8*1,0)</f>
        <v>0</v>
      </c>
    </row>
    <row r="13" customFormat="false" ht="15" hidden="false" customHeight="false" outlineLevel="0" collapsed="false">
      <c r="A13" s="31" t="s">
        <v>196</v>
      </c>
      <c r="B13" s="26" t="n">
        <f aca="false">0</f>
        <v>0</v>
      </c>
      <c r="C13" s="26" t="n">
        <f aca="false">IF(C8&gt;0,MIN(C8,C10+C11),0)</f>
        <v>0</v>
      </c>
      <c r="D13" s="26" t="n">
        <f aca="false">IF(D8&gt;0,MIN(D8,D10+D11),0)</f>
        <v>233216.832</v>
      </c>
      <c r="E13" s="26" t="n">
        <f aca="false">IF(E8&gt;0,MIN(E8,E10+E11),0)</f>
        <v>463849.15772</v>
      </c>
      <c r="F13" s="26" t="n">
        <f aca="false">IF(F8&gt;0,MIN(F8,F10+F11),0)</f>
        <v>999052.6252437</v>
      </c>
      <c r="G13" s="26" t="n">
        <f aca="false">IF(G8&gt;0,MIN(G8,G10+G11),0)</f>
        <v>1218241.6421073</v>
      </c>
      <c r="H13" s="26" t="n">
        <f aca="false">IF(H8&gt;0,MIN(H8,H10+H11),0)</f>
        <v>1172328.43601717</v>
      </c>
      <c r="I13" s="26" t="n">
        <f aca="false">IF(I8&gt;0,MIN(I8,I10+I11),0)</f>
        <v>1378950.38170992</v>
      </c>
      <c r="J13" s="26" t="n">
        <f aca="false">IF(J8&gt;0,MIN(J8,J10+J11),0)</f>
        <v>973151.086037178</v>
      </c>
      <c r="K13" s="26" t="n">
        <f aca="false">IF(K8&gt;0,MIN(K8,K10+K11),0)</f>
        <v>1413527.56349119</v>
      </c>
      <c r="L13" s="26" t="n">
        <f aca="false">IF(L8&gt;0,MIN(L8,L10+L11),0)</f>
        <v>6545773.03513518</v>
      </c>
    </row>
    <row r="14" customFormat="false" ht="15" hidden="false" customHeight="false" outlineLevel="0" collapsed="false">
      <c r="A14" s="31" t="s">
        <v>180</v>
      </c>
      <c r="B14" s="26" t="n">
        <f aca="false">0</f>
        <v>0</v>
      </c>
      <c r="C14" s="26" t="n">
        <f aca="false">IF(C8&gt;0,MIN(C8-C13,C9),0)</f>
        <v>0</v>
      </c>
      <c r="D14" s="26" t="n">
        <f aca="false">IF(D8&gt;0,MIN(D8-D13,D9),0)</f>
        <v>0</v>
      </c>
      <c r="E14" s="26" t="n">
        <f aca="false">IF(E8&gt;0,MIN(E8-E13,E9),0)</f>
        <v>0</v>
      </c>
      <c r="F14" s="26" t="n">
        <f aca="false">IF(F8&gt;0,MIN(F8-F13,F9),0)</f>
        <v>0</v>
      </c>
      <c r="G14" s="26" t="n">
        <f aca="false">IF(G8&gt;0,MIN(G8-G13,G9),0)</f>
        <v>0</v>
      </c>
      <c r="H14" s="26" t="n">
        <f aca="false">IF(H8&gt;0,MIN(H8-H13,H9),0)</f>
        <v>0</v>
      </c>
      <c r="I14" s="26" t="n">
        <f aca="false">IF(I8&gt;0,MIN(I8-I13,I9),0)</f>
        <v>0</v>
      </c>
      <c r="J14" s="26" t="n">
        <f aca="false">IF(J8&gt;0,MIN(J8-J13,J9),0)</f>
        <v>0</v>
      </c>
      <c r="K14" s="26" t="n">
        <f aca="false">IF(K8&gt;0,MIN(K8-K13,K9),0)</f>
        <v>0</v>
      </c>
      <c r="L14" s="26" t="n">
        <f aca="false">IF(L8&gt;0,MIN(L8-L13,L9),0)</f>
        <v>14943867.292</v>
      </c>
    </row>
    <row r="15" customFormat="false" ht="15" hidden="false" customHeight="false" outlineLevel="0" collapsed="false">
      <c r="A15" s="31" t="s">
        <v>197</v>
      </c>
      <c r="B15" s="26" t="n">
        <f aca="false">0</f>
        <v>0</v>
      </c>
      <c r="C15" s="26" t="n">
        <f aca="false">IF(C8&gt;0,C8-C13-C14,0)</f>
        <v>0</v>
      </c>
      <c r="D15" s="26" t="n">
        <f aca="false">IF(D8&gt;0,D8-D13-D14,0)</f>
        <v>0</v>
      </c>
      <c r="E15" s="26" t="n">
        <f aca="false">IF(E8&gt;0,E8-E13-E14,0)</f>
        <v>0</v>
      </c>
      <c r="F15" s="26" t="n">
        <f aca="false">IF(F8&gt;0,F8-F13-F14,0)</f>
        <v>0</v>
      </c>
      <c r="G15" s="26" t="n">
        <f aca="false">IF(G8&gt;0,G8-G13-G14,0)</f>
        <v>0</v>
      </c>
      <c r="H15" s="26" t="n">
        <f aca="false">IF(H8&gt;0,H8-H13-H14,0)</f>
        <v>0</v>
      </c>
      <c r="I15" s="26" t="n">
        <f aca="false">IF(I8&gt;0,I8-I13-I14,0)</f>
        <v>0</v>
      </c>
      <c r="J15" s="26" t="n">
        <f aca="false">IF(J8&gt;0,J8-J13-J14,0)</f>
        <v>0</v>
      </c>
      <c r="K15" s="26" t="n">
        <f aca="false">IF(K8&gt;0,K8-K13-K14,0)</f>
        <v>0</v>
      </c>
      <c r="L15" s="26" t="n">
        <f aca="false">IF(L8&gt;0,L8-L13-L14,0)</f>
        <v>1748715.96253878</v>
      </c>
    </row>
    <row r="16" customFormat="false" ht="15" hidden="false" customHeight="false" outlineLevel="0" collapsed="false">
      <c r="A16" s="31" t="s">
        <v>198</v>
      </c>
      <c r="B16" s="26" t="n">
        <f aca="false">0</f>
        <v>0</v>
      </c>
      <c r="C16" s="26" t="n">
        <f aca="false">B16+C13</f>
        <v>0</v>
      </c>
      <c r="D16" s="26" t="n">
        <f aca="false">C16+D13</f>
        <v>233216.832</v>
      </c>
      <c r="E16" s="26" t="n">
        <f aca="false">D16+E13</f>
        <v>697065.98972</v>
      </c>
      <c r="F16" s="26" t="n">
        <f aca="false">E16+F13</f>
        <v>1696118.6149637</v>
      </c>
      <c r="G16" s="26" t="n">
        <f aca="false">F16+G13</f>
        <v>2914360.257071</v>
      </c>
      <c r="H16" s="26" t="n">
        <f aca="false">G16+H13</f>
        <v>4086688.69308818</v>
      </c>
      <c r="I16" s="26" t="n">
        <f aca="false">H16+I13</f>
        <v>5465639.0747981</v>
      </c>
      <c r="J16" s="26" t="n">
        <f aca="false">I16+J13</f>
        <v>6438790.16083527</v>
      </c>
      <c r="K16" s="26" t="n">
        <f aca="false">J16+K13</f>
        <v>7852317.72432646</v>
      </c>
      <c r="L16" s="26" t="n">
        <f aca="false">K16+L13</f>
        <v>14398090.7594616</v>
      </c>
    </row>
    <row r="17" customFormat="false" ht="15" hidden="false" customHeight="false" outlineLevel="0" collapsed="false">
      <c r="A17" s="31" t="s">
        <v>199</v>
      </c>
      <c r="B17" s="26" t="n">
        <f aca="false">0</f>
        <v>0</v>
      </c>
      <c r="C17" s="26" t="n">
        <f aca="false">C16*CatchUp</f>
        <v>0</v>
      </c>
      <c r="D17" s="26" t="n">
        <f aca="false">D16*CatchUp</f>
        <v>58304.208</v>
      </c>
      <c r="E17" s="26" t="n">
        <f aca="false">E16*CatchUp</f>
        <v>174266.49743</v>
      </c>
      <c r="F17" s="26" t="n">
        <f aca="false">F16*CatchUp</f>
        <v>424029.653740925</v>
      </c>
      <c r="G17" s="26" t="n">
        <f aca="false">G16*CatchUp</f>
        <v>728590.064267751</v>
      </c>
      <c r="H17" s="26" t="n">
        <f aca="false">H16*CatchUp</f>
        <v>1021672.17327204</v>
      </c>
      <c r="I17" s="26" t="n">
        <f aca="false">I16*CatchUp</f>
        <v>1366409.76869952</v>
      </c>
      <c r="J17" s="26" t="n">
        <f aca="false">J16*CatchUp</f>
        <v>1609697.54020882</v>
      </c>
      <c r="K17" s="26" t="n">
        <f aca="false">K16*CatchUp</f>
        <v>1963079.43108162</v>
      </c>
      <c r="L17" s="26" t="n">
        <f aca="false">L16*CatchUp</f>
        <v>3599522.68986541</v>
      </c>
    </row>
    <row r="18" customFormat="false" ht="15" hidden="false" customHeight="false" outlineLevel="0" collapsed="false">
      <c r="A18" s="31" t="s">
        <v>182</v>
      </c>
      <c r="B18" s="26" t="n">
        <f aca="false">0</f>
        <v>0</v>
      </c>
      <c r="C18" s="26" t="n">
        <f aca="false">MIN(C15,MAX(0,C17-B20))</f>
        <v>0</v>
      </c>
      <c r="D18" s="26" t="n">
        <f aca="false">MIN(D15,MAX(0,D17-C20))</f>
        <v>0</v>
      </c>
      <c r="E18" s="26" t="n">
        <f aca="false">MIN(E15,MAX(0,E17-D20))</f>
        <v>0</v>
      </c>
      <c r="F18" s="26" t="n">
        <f aca="false">MIN(F15,MAX(0,F17-E20))</f>
        <v>0</v>
      </c>
      <c r="G18" s="26" t="n">
        <f aca="false">MIN(G15,MAX(0,G17-F20))</f>
        <v>0</v>
      </c>
      <c r="H18" s="26" t="n">
        <f aca="false">MIN(H15,MAX(0,H17-G20))</f>
        <v>0</v>
      </c>
      <c r="I18" s="26" t="n">
        <f aca="false">MIN(I15,MAX(0,I17-H20))</f>
        <v>0</v>
      </c>
      <c r="J18" s="26" t="n">
        <f aca="false">MIN(J15,MAX(0,J17-I20))</f>
        <v>0</v>
      </c>
      <c r="K18" s="26" t="n">
        <f aca="false">MIN(K15,MAX(0,K17-J20))</f>
        <v>0</v>
      </c>
      <c r="L18" s="26" t="n">
        <f aca="false">MIN(L15,MAX(0,L17-K20))</f>
        <v>1748715.96253878</v>
      </c>
    </row>
    <row r="19" customFormat="false" ht="15" hidden="false" customHeight="false" outlineLevel="0" collapsed="false">
      <c r="A19" s="31" t="s">
        <v>200</v>
      </c>
      <c r="B19" s="26" t="n">
        <f aca="false">0</f>
        <v>0</v>
      </c>
      <c r="C19" s="26" t="n">
        <f aca="false">(C15-C18)*Promote</f>
        <v>0</v>
      </c>
      <c r="D19" s="26" t="n">
        <f aca="false">(D15-D18)*Promote</f>
        <v>0</v>
      </c>
      <c r="E19" s="26" t="n">
        <f aca="false">(E15-E18)*Promote</f>
        <v>0</v>
      </c>
      <c r="F19" s="26" t="n">
        <f aca="false">(F15-F18)*Promote</f>
        <v>0</v>
      </c>
      <c r="G19" s="26" t="n">
        <f aca="false">(G15-G18)*Promote</f>
        <v>0</v>
      </c>
      <c r="H19" s="26" t="n">
        <f aca="false">(H15-H18)*Promote</f>
        <v>0</v>
      </c>
      <c r="I19" s="26" t="n">
        <f aca="false">(I15-I18)*Promote</f>
        <v>0</v>
      </c>
      <c r="J19" s="26" t="n">
        <f aca="false">(J15-J18)*Promote</f>
        <v>0</v>
      </c>
      <c r="K19" s="26" t="n">
        <f aca="false">(K15-K18)*Promote</f>
        <v>0</v>
      </c>
      <c r="L19" s="26" t="n">
        <f aca="false">(L15-L18)*Promote</f>
        <v>0</v>
      </c>
    </row>
    <row r="20" customFormat="false" ht="15" hidden="false" customHeight="false" outlineLevel="0" collapsed="false">
      <c r="A20" s="31" t="s">
        <v>201</v>
      </c>
      <c r="B20" s="26" t="n">
        <f aca="false">0</f>
        <v>0</v>
      </c>
      <c r="C20" s="26" t="n">
        <f aca="false">B20+C18+C19</f>
        <v>0</v>
      </c>
      <c r="D20" s="26" t="n">
        <f aca="false">C20+D18+D19</f>
        <v>0</v>
      </c>
      <c r="E20" s="26" t="n">
        <f aca="false">D20+E18+E19</f>
        <v>0</v>
      </c>
      <c r="F20" s="26" t="n">
        <f aca="false">E20+F18+F19</f>
        <v>0</v>
      </c>
      <c r="G20" s="26" t="n">
        <f aca="false">F20+G18+G19</f>
        <v>0</v>
      </c>
      <c r="H20" s="26" t="n">
        <f aca="false">G20+H18+H19</f>
        <v>0</v>
      </c>
      <c r="I20" s="26" t="n">
        <f aca="false">H20+I18+I19</f>
        <v>0</v>
      </c>
      <c r="J20" s="26" t="n">
        <f aca="false">I20+J18+J19</f>
        <v>0</v>
      </c>
      <c r="K20" s="26" t="n">
        <f aca="false">J20+K18+K19</f>
        <v>0</v>
      </c>
      <c r="L20" s="26" t="n">
        <f aca="false">K20+L18+L19</f>
        <v>1748715.96253878</v>
      </c>
    </row>
    <row r="21" customFormat="false" ht="15" hidden="false" customHeight="false" outlineLevel="0" collapsed="false">
      <c r="A21" s="32" t="s">
        <v>202</v>
      </c>
      <c r="B21" s="12" t="n">
        <f aca="false">B8</f>
        <v>-13834920</v>
      </c>
      <c r="C21" s="12" t="n">
        <f aca="false">IF(C8&lt;0,C8,C13+C14+(C15-C18)*(1-Promote))</f>
        <v>-1108947.292</v>
      </c>
      <c r="D21" s="12" t="n">
        <f aca="false">IF(D8&lt;0,D8,D13+D14+(D15-D18)*(1-Promote))</f>
        <v>233216.832</v>
      </c>
      <c r="E21" s="12" t="n">
        <f aca="false">IF(E8&lt;0,E8,E13+E14+(E15-E18)*(1-Promote))</f>
        <v>463849.15772</v>
      </c>
      <c r="F21" s="12" t="n">
        <f aca="false">IF(F8&lt;0,F8,F13+F14+(F15-F18)*(1-Promote))</f>
        <v>999052.6252437</v>
      </c>
      <c r="G21" s="12" t="n">
        <f aca="false">IF(G8&lt;0,G8,G13+G14+(G15-G18)*(1-Promote))</f>
        <v>1218241.6421073</v>
      </c>
      <c r="H21" s="12" t="n">
        <f aca="false">IF(H8&lt;0,H8,H13+H14+(H15-H18)*(1-Promote))</f>
        <v>1172328.43601717</v>
      </c>
      <c r="I21" s="12" t="n">
        <f aca="false">IF(I8&lt;0,I8,I13+I14+(I15-I18)*(1-Promote))</f>
        <v>1378950.38170992</v>
      </c>
      <c r="J21" s="12" t="n">
        <f aca="false">IF(J8&lt;0,J8,J13+J14+(J15-J18)*(1-Promote))</f>
        <v>973151.086037178</v>
      </c>
      <c r="K21" s="12" t="n">
        <f aca="false">IF(K8&lt;0,K8,K13+K14+(K15-K18)*(1-Promote))</f>
        <v>1413527.56349119</v>
      </c>
      <c r="L21" s="12" t="n">
        <f aca="false">IF(L8&lt;0,L8,L13+L14+(L15-L18)*(1-Promote))</f>
        <v>21489640.3271352</v>
      </c>
    </row>
    <row r="22" customFormat="false" ht="15" hidden="false" customHeight="false" outlineLevel="0" collapsed="false">
      <c r="A22" s="31" t="s">
        <v>203</v>
      </c>
      <c r="B22" s="26" t="n">
        <f aca="false">-B8</f>
        <v>13834920</v>
      </c>
      <c r="C22" s="26" t="n">
        <f aca="false">C9-C14+C12</f>
        <v>14943867.292</v>
      </c>
      <c r="D22" s="26" t="n">
        <f aca="false">D9-D14+D12</f>
        <v>14943867.292</v>
      </c>
      <c r="E22" s="26" t="n">
        <f aca="false">E9-E14+E12</f>
        <v>14943867.292</v>
      </c>
      <c r="F22" s="26" t="n">
        <f aca="false">F9-F14+F12</f>
        <v>14943867.292</v>
      </c>
      <c r="G22" s="26" t="n">
        <f aca="false">G9-G14+G12</f>
        <v>14943867.292</v>
      </c>
      <c r="H22" s="26" t="n">
        <f aca="false">H9-H14+H12</f>
        <v>14943867.292</v>
      </c>
      <c r="I22" s="26" t="n">
        <f aca="false">I9-I14+I12</f>
        <v>14943867.292</v>
      </c>
      <c r="J22" s="26" t="n">
        <f aca="false">J9-J14+J12</f>
        <v>14943867.292</v>
      </c>
      <c r="K22" s="26" t="n">
        <f aca="false">K9-K14+K12</f>
        <v>14943867.292</v>
      </c>
      <c r="L22" s="26" t="n">
        <f aca="false">L9-L14+L12</f>
        <v>0</v>
      </c>
    </row>
    <row r="23" customFormat="false" ht="15" hidden="false" customHeight="false" outlineLevel="0" collapsed="false">
      <c r="A23" s="31" t="s">
        <v>204</v>
      </c>
      <c r="B23" s="26" t="n">
        <f aca="false">0</f>
        <v>0</v>
      </c>
      <c r="C23" s="26" t="n">
        <f aca="false">C10+C11-C13</f>
        <v>1106793.6</v>
      </c>
      <c r="D23" s="26" t="n">
        <f aca="false">D10+D11-D13</f>
        <v>2157629.63936</v>
      </c>
      <c r="E23" s="26" t="n">
        <f aca="false">E10+E11-E13</f>
        <v>3061900.2361488</v>
      </c>
      <c r="F23" s="26" t="n">
        <f aca="false">F10+F11-F13</f>
        <v>3503309.013157</v>
      </c>
      <c r="G23" s="26" t="n">
        <f aca="false">G10+G11-G13</f>
        <v>3760841.47546226</v>
      </c>
      <c r="H23" s="26" t="n">
        <f aca="false">H10+H11-H13</f>
        <v>4084889.74084207</v>
      </c>
      <c r="I23" s="26" t="n">
        <f aca="false">I10+I11-I13</f>
        <v>4228239.92175951</v>
      </c>
      <c r="J23" s="26" t="n">
        <f aca="false">J10+J11-J13</f>
        <v>4788857.4128231</v>
      </c>
      <c r="K23" s="26" t="n">
        <f aca="false">K10+K11-K13</f>
        <v>4953947.82571776</v>
      </c>
      <c r="L23" s="26" t="n">
        <f aca="false">L10+L11-L13</f>
        <v>0</v>
      </c>
    </row>
    <row r="25" customFormat="false" ht="15" hidden="false" customHeight="false" outlineLevel="0" collapsed="false">
      <c r="A25" s="4" t="s">
        <v>205</v>
      </c>
      <c r="B25" s="6"/>
      <c r="C25" s="6"/>
      <c r="D25" s="6"/>
      <c r="E25" s="6"/>
      <c r="F25" s="6"/>
      <c r="G25" s="6"/>
      <c r="H25" s="6"/>
      <c r="I25" s="6"/>
      <c r="J25" s="6"/>
      <c r="K25" s="6"/>
      <c r="L25" s="6"/>
    </row>
    <row r="27" customFormat="false" ht="15" hidden="false" customHeight="false" outlineLevel="0" collapsed="false">
      <c r="A27" s="11" t="s">
        <v>206</v>
      </c>
      <c r="B27" s="12" t="n">
        <f aca="false">-SUMIF(B8:L8,"&lt;0")</f>
        <v>14943867.292</v>
      </c>
    </row>
    <row r="28" customFormat="false" ht="15" hidden="false" customHeight="false" outlineLevel="0" collapsed="false">
      <c r="A28" s="7" t="s">
        <v>207</v>
      </c>
      <c r="B28" s="21" t="n">
        <f aca="false">SUMIF(B8:L8,"&gt;0")</f>
        <v>31090674.0140004</v>
      </c>
    </row>
    <row r="29" customFormat="false" ht="15" hidden="false" customHeight="false" outlineLevel="0" collapsed="false">
      <c r="A29" s="11" t="s">
        <v>196</v>
      </c>
      <c r="B29" s="12" t="n">
        <f aca="false">L16</f>
        <v>14398090.7594616</v>
      </c>
    </row>
    <row r="30" customFormat="false" ht="15" hidden="false" customHeight="false" outlineLevel="0" collapsed="false">
      <c r="A30" s="7" t="s">
        <v>180</v>
      </c>
      <c r="B30" s="21" t="n">
        <f aca="false">SUM(B14:L14)</f>
        <v>14943867.292</v>
      </c>
    </row>
    <row r="31" customFormat="false" ht="15" hidden="false" customHeight="false" outlineLevel="0" collapsed="false">
      <c r="A31" s="11" t="s">
        <v>208</v>
      </c>
      <c r="B31" s="12" t="n">
        <f aca="false">L20</f>
        <v>1748715.96253878</v>
      </c>
    </row>
    <row r="32" customFormat="false" ht="15" hidden="false" customHeight="false" outlineLevel="0" collapsed="false">
      <c r="A32" s="7" t="s">
        <v>209</v>
      </c>
      <c r="B32" s="21" t="n">
        <f aca="false">SUM(C21:L21)</f>
        <v>28233010.7594616</v>
      </c>
    </row>
    <row r="33" customFormat="false" ht="15" hidden="false" customHeight="false" outlineLevel="0" collapsed="false">
      <c r="A33" s="7" t="s">
        <v>210</v>
      </c>
      <c r="B33" s="21" t="n">
        <f aca="false">SUMIF(B21:L21,"&gt;0")</f>
        <v>29341958.0514616</v>
      </c>
    </row>
    <row r="34" customFormat="false" ht="15" hidden="false" customHeight="false" outlineLevel="0" collapsed="false">
      <c r="A34" s="11" t="s">
        <v>211</v>
      </c>
      <c r="B34" s="27" t="n">
        <f aca="false">IRR(B21:L21)</f>
        <v>0.08</v>
      </c>
      <c r="D34" s="7" t="s">
        <v>212</v>
      </c>
    </row>
    <row r="35" customFormat="false" ht="15" hidden="false" customHeight="false" outlineLevel="0" collapsed="false">
      <c r="A35" s="11" t="s">
        <v>213</v>
      </c>
      <c r="B35" s="12" t="n">
        <f aca="false">B33-B27-B29</f>
        <v>0</v>
      </c>
    </row>
    <row r="37" customFormat="false" ht="15" hidden="false" customHeight="false" outlineLevel="0" collapsed="false">
      <c r="A37" s="4" t="s">
        <v>214</v>
      </c>
      <c r="B37" s="6"/>
      <c r="C37" s="6"/>
      <c r="D37" s="6"/>
      <c r="E37" s="6"/>
      <c r="F37" s="6"/>
      <c r="G37" s="6"/>
      <c r="H37" s="6"/>
      <c r="I37" s="6"/>
      <c r="J37" s="6"/>
      <c r="K37" s="6"/>
      <c r="L37" s="6"/>
    </row>
    <row r="39" customFormat="false" ht="15" hidden="false" customHeight="false" outlineLevel="0" collapsed="false">
      <c r="A39" s="7" t="s">
        <v>47</v>
      </c>
      <c r="B39" s="21" t="n">
        <f aca="false">AMTotal</f>
        <v>2114640</v>
      </c>
    </row>
    <row r="40" customFormat="false" ht="15" hidden="false" customHeight="false" outlineLevel="0" collapsed="false">
      <c r="A40" s="7" t="s">
        <v>177</v>
      </c>
      <c r="B40" s="21" t="n">
        <f aca="false">B31</f>
        <v>1748715.96253878</v>
      </c>
    </row>
    <row r="41" customFormat="false" ht="15" hidden="false" customHeight="false" outlineLevel="0" collapsed="false">
      <c r="A41" s="11" t="s">
        <v>215</v>
      </c>
      <c r="B41" s="12" t="n">
        <f aca="false">AMTotal+B31</f>
        <v>3863355.96253878</v>
      </c>
    </row>
    <row r="42" customFormat="false" ht="15" hidden="false" customHeight="false" outlineLevel="0" collapsed="false">
      <c r="A42" s="11" t="s">
        <v>216</v>
      </c>
      <c r="B42" s="12" t="n">
        <f aca="false">B35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12" min="2" style="0" width="14"/>
  </cols>
  <sheetData>
    <row r="1" customFormat="false" ht="19.7" hidden="false" customHeight="false" outlineLevel="0" collapsed="false">
      <c r="A1" s="33" t="s">
        <v>217</v>
      </c>
    </row>
    <row r="2" customFormat="false" ht="15" hidden="false" customHeight="false" outlineLevel="0" collapsed="false">
      <c r="A2" s="34" t="s">
        <v>218</v>
      </c>
    </row>
    <row r="4" customFormat="false" ht="15" hidden="false" customHeight="false" outlineLevel="0" collapsed="false">
      <c r="A4" s="34" t="s">
        <v>219</v>
      </c>
    </row>
    <row r="5" customFormat="false" ht="15" hidden="false" customHeight="false" outlineLevel="0" collapsed="false">
      <c r="A5" s="35" t="s">
        <v>220</v>
      </c>
    </row>
    <row r="7" customFormat="false" ht="15" hidden="false" customHeight="false" outlineLevel="0" collapsed="false">
      <c r="A7" s="7" t="s">
        <v>149</v>
      </c>
      <c r="B7" s="12" t="n">
        <f aca="false">'Income account'!K43</f>
        <v>2218656.31458059</v>
      </c>
    </row>
    <row r="8" customFormat="false" ht="15" hidden="false" customHeight="false" outlineLevel="0" collapsed="false">
      <c r="A8" s="7" t="s">
        <v>221</v>
      </c>
      <c r="B8" s="12" t="n">
        <f aca="false">'Income account'!K44</f>
        <v>48086.6962010262</v>
      </c>
    </row>
    <row r="9" customFormat="false" ht="15" hidden="false" customHeight="false" outlineLevel="0" collapsed="false">
      <c r="A9" s="7" t="s">
        <v>222</v>
      </c>
      <c r="B9" s="12" t="n">
        <f aca="false">'Income account'!K46</f>
        <v>2170569.61837956</v>
      </c>
      <c r="C9" s="34" t="s">
        <v>223</v>
      </c>
    </row>
    <row r="10" customFormat="false" ht="15" hidden="false" customHeight="false" outlineLevel="0" collapsed="false">
      <c r="A10" s="7" t="s">
        <v>224</v>
      </c>
      <c r="B10" s="12" t="n">
        <f aca="false">B7/ExitYld</f>
        <v>33363252.8508359</v>
      </c>
    </row>
    <row r="11" customFormat="false" ht="15" hidden="false" customHeight="false" outlineLevel="0" collapsed="false">
      <c r="A11" s="7" t="s">
        <v>225</v>
      </c>
      <c r="B11" s="12" t="n">
        <f aca="false">B10*(1-SaleCost)</f>
        <v>32946212.1902005</v>
      </c>
    </row>
    <row r="12" customFormat="false" ht="15" hidden="false" customHeight="false" outlineLevel="0" collapsed="false">
      <c r="A12" s="7" t="s">
        <v>226</v>
      </c>
      <c r="B12" s="12" t="n">
        <f aca="false">GrossExit-B10</f>
        <v>3528768.08212042</v>
      </c>
    </row>
    <row r="13" customFormat="false" ht="15" hidden="false" customHeight="false" outlineLevel="0" collapsed="false">
      <c r="A13" s="7" t="s">
        <v>227</v>
      </c>
      <c r="B13" s="12" t="n">
        <f aca="false">NetExit-B11</f>
        <v>3484658.48109391</v>
      </c>
    </row>
    <row r="14" customFormat="false" ht="15" hidden="false" customHeight="false" outlineLevel="0" collapsed="false">
      <c r="A14" s="7" t="s">
        <v>228</v>
      </c>
      <c r="B14" s="27" t="n">
        <f aca="false">B13/Equity0</f>
        <v>0.25187413307008</v>
      </c>
    </row>
    <row r="15" customFormat="false" ht="15" hidden="false" customHeight="false" outlineLevel="0" collapsed="false">
      <c r="A15" s="7" t="s">
        <v>229</v>
      </c>
      <c r="B15" s="15" t="n">
        <f aca="false">B13/Waterfall!B31</f>
        <v>1.99269552960155</v>
      </c>
    </row>
    <row r="16" customFormat="false" ht="15" hidden="false" customHeight="false" outlineLevel="0" collapsed="false">
      <c r="A16" s="7" t="s">
        <v>230</v>
      </c>
      <c r="B16" s="27" t="n">
        <f aca="false">ExitNOI/B10</f>
        <v>0.073533579085054</v>
      </c>
    </row>
    <row r="17" customFormat="false" ht="15" hidden="false" customHeight="false" outlineLevel="0" collapsed="false">
      <c r="A17" s="7" t="s">
        <v>231</v>
      </c>
      <c r="B17" s="15" t="n">
        <f aca="false">(B16-ExitYld)*100</f>
        <v>0.703357908505399</v>
      </c>
    </row>
    <row r="18" customFormat="false" ht="15" hidden="false" customHeight="false" outlineLevel="0" collapsed="false">
      <c r="A18" s="7" t="s">
        <v>232</v>
      </c>
      <c r="B18" s="12" t="n">
        <f aca="false">ExitNOI-B7</f>
        <v>234663.077461008</v>
      </c>
    </row>
    <row r="19" customFormat="false" ht="15" hidden="false" customHeight="false" outlineLevel="0" collapsed="false">
      <c r="A19" s="7" t="s">
        <v>233</v>
      </c>
      <c r="B19" s="27" t="n">
        <f aca="false">ExitNOI/B7-1</f>
        <v>0.105768106542165</v>
      </c>
    </row>
    <row r="21" customFormat="false" ht="15" hidden="false" customHeight="false" outlineLevel="0" collapsed="false">
      <c r="A21" s="7" t="s">
        <v>234</v>
      </c>
      <c r="B21" s="12" t="n">
        <f aca="false">AVERAGE('Income account'!I43:L43)</f>
        <v>2212879.12798681</v>
      </c>
    </row>
    <row r="22" customFormat="false" ht="15" hidden="false" customHeight="false" outlineLevel="0" collapsed="false">
      <c r="A22" s="7" t="s">
        <v>235</v>
      </c>
      <c r="B22" s="12" t="n">
        <f aca="false">B21/ExitYld</f>
        <v>33276377.8644632</v>
      </c>
    </row>
    <row r="23" customFormat="false" ht="15" hidden="false" customHeight="false" outlineLevel="0" collapsed="false">
      <c r="A23" s="7" t="s">
        <v>236</v>
      </c>
      <c r="B23" s="12" t="n">
        <f aca="false">GrossExit-B22</f>
        <v>3615643.06849311</v>
      </c>
    </row>
    <row r="25" customFormat="false" ht="15" hidden="false" customHeight="false" outlineLevel="0" collapsed="false">
      <c r="A25" s="35" t="s">
        <v>237</v>
      </c>
    </row>
    <row r="26" customFormat="false" ht="15" hidden="false" customHeight="false" outlineLevel="0" collapsed="false">
      <c r="A26" s="34" t="s">
        <v>238</v>
      </c>
    </row>
    <row r="27" customFormat="false" ht="35.05" hidden="false" customHeight="false" outlineLevel="0" collapsed="false">
      <c r="A27" s="36" t="s">
        <v>239</v>
      </c>
      <c r="B27" s="37" t="s">
        <v>240</v>
      </c>
      <c r="C27" s="37" t="s">
        <v>145</v>
      </c>
      <c r="D27" s="37" t="s">
        <v>241</v>
      </c>
      <c r="E27" s="37" t="s">
        <v>172</v>
      </c>
      <c r="F27" s="37" t="s">
        <v>173</v>
      </c>
      <c r="G27" s="37" t="s">
        <v>174</v>
      </c>
      <c r="H27" s="37" t="s">
        <v>242</v>
      </c>
      <c r="I27" s="37" t="s">
        <v>177</v>
      </c>
      <c r="J27" s="37" t="s">
        <v>176</v>
      </c>
      <c r="K27" s="37" t="s">
        <v>178</v>
      </c>
    </row>
    <row r="28" customFormat="false" ht="15" hidden="false" customHeight="false" outlineLevel="0" collapsed="false">
      <c r="A28" s="7" t="s">
        <v>243</v>
      </c>
      <c r="B28" s="38" t="n">
        <v>11</v>
      </c>
      <c r="C28" s="39" t="n">
        <v>0.0665</v>
      </c>
      <c r="D28" s="21" t="n">
        <f aca="false">INDEX('Income account'!$B$43:$L$43,B28)</f>
        <v>2453319.3920416</v>
      </c>
      <c r="E28" s="21" t="n">
        <f aca="false">D28/C28</f>
        <v>36892020.9329564</v>
      </c>
      <c r="F28" s="21" t="n">
        <f aca="false">E28*(1-SaleCost)</f>
        <v>36430870.6712944</v>
      </c>
      <c r="G28" s="21" t="n">
        <f aca="false">'Cash flows'!$L$28-NetExit+F28</f>
        <v>23238356.289674</v>
      </c>
      <c r="H28" s="21" t="n">
        <f aca="false">G28-(Waterfall!$L$9+Waterfall!$L$10+Waterfall!$L$11)</f>
        <v>1748715.96253878</v>
      </c>
      <c r="I28" s="21" t="n">
        <f aca="false">IF(H28&lt;=0,0,MIN(H28,CatchUp*(Waterfall!K16+Waterfall!L10+Waterfall!L11))+MAX(0,H28-CatchUp*(Waterfall!K16+Waterfall!L10+Waterfall!L11))*Promote)</f>
        <v>1748715.96253878</v>
      </c>
      <c r="J28" s="27" t="n">
        <f aca="false">IRR(B36:L36)</f>
        <v>0.0866467604777335</v>
      </c>
      <c r="K28" s="27" t="n">
        <f aca="false">IRR(B42:L42)</f>
        <v>0.08</v>
      </c>
    </row>
    <row r="29" customFormat="false" ht="15" hidden="false" customHeight="false" outlineLevel="0" collapsed="false">
      <c r="A29" s="7" t="s">
        <v>244</v>
      </c>
      <c r="B29" s="38" t="n">
        <v>10</v>
      </c>
      <c r="C29" s="39" t="n">
        <v>0.0665</v>
      </c>
      <c r="D29" s="21" t="n">
        <f aca="false">INDEX('Income account'!$B$43:$L$43,B29)</f>
        <v>2218656.31458059</v>
      </c>
      <c r="E29" s="21" t="n">
        <f aca="false">D29/C29</f>
        <v>33363252.8508359</v>
      </c>
      <c r="F29" s="21" t="n">
        <f aca="false">E29*(1-SaleCost)</f>
        <v>32946212.1902005</v>
      </c>
      <c r="G29" s="21" t="n">
        <f aca="false">'Cash flows'!$L$28-NetExit+F29</f>
        <v>19753697.8085801</v>
      </c>
      <c r="H29" s="21" t="n">
        <f aca="false">G29-(Waterfall!$L$9+Waterfall!$L$10+Waterfall!$L$11)</f>
        <v>-1735942.51855513</v>
      </c>
      <c r="I29" s="21" t="n">
        <f aca="false">IF(H29&lt;=0,0,MIN(H29,CatchUp*(Waterfall!K16+Waterfall!L10+Waterfall!L11))+MAX(0,H29-CatchUp*(Waterfall!K16+Waterfall!L10+Waterfall!L11))*Promote)</f>
        <v>0</v>
      </c>
      <c r="J29" s="27" t="n">
        <f aca="false">IRR(B37:L37)</f>
        <v>0.0729843294655569</v>
      </c>
      <c r="K29" s="27" t="n">
        <f aca="false">IRR(B43:L43)</f>
        <v>0.0729843294655569</v>
      </c>
    </row>
    <row r="30" customFormat="false" ht="15" hidden="false" customHeight="false" outlineLevel="0" collapsed="false">
      <c r="A30" s="7" t="s">
        <v>245</v>
      </c>
      <c r="B30" s="38" t="n">
        <v>11</v>
      </c>
      <c r="C30" s="39" t="n">
        <v>0.0765</v>
      </c>
      <c r="D30" s="21" t="n">
        <f aca="false">INDEX('Income account'!$B$43:$L$43,B30)</f>
        <v>2453319.3920416</v>
      </c>
      <c r="E30" s="21" t="n">
        <f aca="false">D30/C30</f>
        <v>32069534.5364915</v>
      </c>
      <c r="F30" s="21" t="n">
        <f aca="false">E30*(1-SaleCost)</f>
        <v>31668665.3547853</v>
      </c>
      <c r="G30" s="21" t="n">
        <f aca="false">'Cash flows'!$L$28-NetExit+F30</f>
        <v>18476150.9731649</v>
      </c>
      <c r="H30" s="21" t="n">
        <f aca="false">G30-(Waterfall!$L$9+Waterfall!$L$10+Waterfall!$L$11)</f>
        <v>-3013489.35397029</v>
      </c>
      <c r="I30" s="21" t="n">
        <f aca="false">IF(H30&lt;=0,0,MIN(H30,CatchUp*(Waterfall!K16+Waterfall!L10+Waterfall!L11))+MAX(0,H30-CatchUp*(Waterfall!K16+Waterfall!L10+Waterfall!L11))*Promote)</f>
        <v>0</v>
      </c>
      <c r="J30" s="27" t="n">
        <f aca="false">IRR(B38:L38)</f>
        <v>0.0675204662288504</v>
      </c>
      <c r="K30" s="27" t="n">
        <f aca="false">IRR(B44:L44)</f>
        <v>0.0675204662288504</v>
      </c>
    </row>
    <row r="31" customFormat="false" ht="15" hidden="false" customHeight="false" outlineLevel="0" collapsed="false">
      <c r="A31" s="7" t="s">
        <v>246</v>
      </c>
      <c r="B31" s="38" t="n">
        <v>11</v>
      </c>
      <c r="C31" s="39" t="n">
        <v>0.0625</v>
      </c>
      <c r="D31" s="21" t="n">
        <f aca="false">INDEX('Income account'!$B$43:$L$43,B31)</f>
        <v>2453319.3920416</v>
      </c>
      <c r="E31" s="21" t="n">
        <f aca="false">D31/C31</f>
        <v>39253110.2726656</v>
      </c>
      <c r="F31" s="21" t="n">
        <f aca="false">E31*(1-SaleCost)</f>
        <v>38762446.3942572</v>
      </c>
      <c r="G31" s="21" t="n">
        <f aca="false">'Cash flows'!$L$28-NetExit+F31</f>
        <v>25569932.0126368</v>
      </c>
      <c r="H31" s="21" t="n">
        <f aca="false">G31-(Waterfall!$L$9+Waterfall!$L$10+Waterfall!$L$11)</f>
        <v>4080291.68550162</v>
      </c>
      <c r="I31" s="21" t="n">
        <f aca="false">IF(H31&lt;=0,0,MIN(H31,CatchUp*(Waterfall!K16+Waterfall!L10+Waterfall!L11))+MAX(0,H31-CatchUp*(Waterfall!K16+Waterfall!L10+Waterfall!L11))*Promote)</f>
        <v>3695676.48899265</v>
      </c>
      <c r="J31" s="27" t="n">
        <f aca="false">IRR(B39:L39)</f>
        <v>0.0949386740270208</v>
      </c>
      <c r="K31" s="27" t="n">
        <f aca="false">IRR(B45:L45)</f>
        <v>0.0814961873018326</v>
      </c>
    </row>
    <row r="35" customFormat="false" ht="15" hidden="false" customHeight="false" outlineLevel="0" collapsed="false">
      <c r="A35" s="40" t="s">
        <v>55</v>
      </c>
      <c r="B35" s="41" t="n">
        <v>0</v>
      </c>
      <c r="C35" s="41" t="n">
        <f aca="false">B35+1</f>
        <v>1</v>
      </c>
      <c r="D35" s="41" t="n">
        <f aca="false">C35+1</f>
        <v>2</v>
      </c>
      <c r="E35" s="41" t="n">
        <f aca="false">D35+1</f>
        <v>3</v>
      </c>
      <c r="F35" s="41" t="n">
        <f aca="false">E35+1</f>
        <v>4</v>
      </c>
      <c r="G35" s="41" t="n">
        <f aca="false">F35+1</f>
        <v>5</v>
      </c>
      <c r="H35" s="41" t="n">
        <f aca="false">G35+1</f>
        <v>6</v>
      </c>
      <c r="I35" s="41" t="n">
        <f aca="false">H35+1</f>
        <v>7</v>
      </c>
      <c r="J35" s="41" t="n">
        <f aca="false">I35+1</f>
        <v>8</v>
      </c>
      <c r="K35" s="41" t="n">
        <f aca="false">J35+1</f>
        <v>9</v>
      </c>
      <c r="L35" s="41" t="n">
        <f aca="false">K35+1</f>
        <v>10</v>
      </c>
    </row>
    <row r="36" customFormat="false" ht="15" hidden="false" customHeight="false" outlineLevel="0" collapsed="false">
      <c r="A36" s="7" t="s">
        <v>247</v>
      </c>
      <c r="B36" s="21" t="n">
        <f aca="false">'Cash flows'!B28</f>
        <v>-13834920</v>
      </c>
      <c r="C36" s="21" t="n">
        <f aca="false">'Cash flows'!C28</f>
        <v>-1108947.292</v>
      </c>
      <c r="D36" s="21" t="n">
        <f aca="false">'Cash flows'!D28</f>
        <v>233216.832</v>
      </c>
      <c r="E36" s="21" t="n">
        <f aca="false">'Cash flows'!E28</f>
        <v>463849.15772</v>
      </c>
      <c r="F36" s="21" t="n">
        <f aca="false">'Cash flows'!F28</f>
        <v>999052.6252437</v>
      </c>
      <c r="G36" s="21" t="n">
        <f aca="false">'Cash flows'!G28</f>
        <v>1218241.6421073</v>
      </c>
      <c r="H36" s="21" t="n">
        <f aca="false">'Cash flows'!H28</f>
        <v>1172328.43601717</v>
      </c>
      <c r="I36" s="21" t="n">
        <f aca="false">'Cash flows'!I28</f>
        <v>1378950.38170992</v>
      </c>
      <c r="J36" s="21" t="n">
        <f aca="false">'Cash flows'!J28</f>
        <v>973151.086037178</v>
      </c>
      <c r="K36" s="21" t="n">
        <f aca="false">'Cash flows'!K28</f>
        <v>1413527.56349119</v>
      </c>
      <c r="L36" s="21" t="n">
        <f aca="false">G28</f>
        <v>23238356.289674</v>
      </c>
    </row>
    <row r="37" customFormat="false" ht="15" hidden="false" customHeight="false" outlineLevel="0" collapsed="false">
      <c r="A37" s="7" t="s">
        <v>248</v>
      </c>
      <c r="B37" s="21" t="n">
        <f aca="false">'Cash flows'!B28</f>
        <v>-13834920</v>
      </c>
      <c r="C37" s="21" t="n">
        <f aca="false">'Cash flows'!C28</f>
        <v>-1108947.292</v>
      </c>
      <c r="D37" s="21" t="n">
        <f aca="false">'Cash flows'!D28</f>
        <v>233216.832</v>
      </c>
      <c r="E37" s="21" t="n">
        <f aca="false">'Cash flows'!E28</f>
        <v>463849.15772</v>
      </c>
      <c r="F37" s="21" t="n">
        <f aca="false">'Cash flows'!F28</f>
        <v>999052.6252437</v>
      </c>
      <c r="G37" s="21" t="n">
        <f aca="false">'Cash flows'!G28</f>
        <v>1218241.6421073</v>
      </c>
      <c r="H37" s="21" t="n">
        <f aca="false">'Cash flows'!H28</f>
        <v>1172328.43601717</v>
      </c>
      <c r="I37" s="21" t="n">
        <f aca="false">'Cash flows'!I28</f>
        <v>1378950.38170992</v>
      </c>
      <c r="J37" s="21" t="n">
        <f aca="false">'Cash flows'!J28</f>
        <v>973151.086037178</v>
      </c>
      <c r="K37" s="21" t="n">
        <f aca="false">'Cash flows'!K28</f>
        <v>1413527.56349119</v>
      </c>
      <c r="L37" s="21" t="n">
        <f aca="false">G29</f>
        <v>19753697.8085801</v>
      </c>
    </row>
    <row r="38" customFormat="false" ht="15" hidden="false" customHeight="false" outlineLevel="0" collapsed="false">
      <c r="A38" s="7" t="s">
        <v>249</v>
      </c>
      <c r="B38" s="21" t="n">
        <f aca="false">'Cash flows'!B28</f>
        <v>-13834920</v>
      </c>
      <c r="C38" s="21" t="n">
        <f aca="false">'Cash flows'!C28</f>
        <v>-1108947.292</v>
      </c>
      <c r="D38" s="21" t="n">
        <f aca="false">'Cash flows'!D28</f>
        <v>233216.832</v>
      </c>
      <c r="E38" s="21" t="n">
        <f aca="false">'Cash flows'!E28</f>
        <v>463849.15772</v>
      </c>
      <c r="F38" s="21" t="n">
        <f aca="false">'Cash flows'!F28</f>
        <v>999052.6252437</v>
      </c>
      <c r="G38" s="21" t="n">
        <f aca="false">'Cash flows'!G28</f>
        <v>1218241.6421073</v>
      </c>
      <c r="H38" s="21" t="n">
        <f aca="false">'Cash flows'!H28</f>
        <v>1172328.43601717</v>
      </c>
      <c r="I38" s="21" t="n">
        <f aca="false">'Cash flows'!I28</f>
        <v>1378950.38170992</v>
      </c>
      <c r="J38" s="21" t="n">
        <f aca="false">'Cash flows'!J28</f>
        <v>973151.086037178</v>
      </c>
      <c r="K38" s="21" t="n">
        <f aca="false">'Cash flows'!K28</f>
        <v>1413527.56349119</v>
      </c>
      <c r="L38" s="21" t="n">
        <f aca="false">G30</f>
        <v>18476150.9731649</v>
      </c>
    </row>
    <row r="39" customFormat="false" ht="15" hidden="false" customHeight="false" outlineLevel="0" collapsed="false">
      <c r="A39" s="7" t="s">
        <v>250</v>
      </c>
      <c r="B39" s="21" t="n">
        <f aca="false">'Cash flows'!B28</f>
        <v>-13834920</v>
      </c>
      <c r="C39" s="21" t="n">
        <f aca="false">'Cash flows'!C28</f>
        <v>-1108947.292</v>
      </c>
      <c r="D39" s="21" t="n">
        <f aca="false">'Cash flows'!D28</f>
        <v>233216.832</v>
      </c>
      <c r="E39" s="21" t="n">
        <f aca="false">'Cash flows'!E28</f>
        <v>463849.15772</v>
      </c>
      <c r="F39" s="21" t="n">
        <f aca="false">'Cash flows'!F28</f>
        <v>999052.6252437</v>
      </c>
      <c r="G39" s="21" t="n">
        <f aca="false">'Cash flows'!G28</f>
        <v>1218241.6421073</v>
      </c>
      <c r="H39" s="21" t="n">
        <f aca="false">'Cash flows'!H28</f>
        <v>1172328.43601717</v>
      </c>
      <c r="I39" s="21" t="n">
        <f aca="false">'Cash flows'!I28</f>
        <v>1378950.38170992</v>
      </c>
      <c r="J39" s="21" t="n">
        <f aca="false">'Cash flows'!J28</f>
        <v>973151.086037178</v>
      </c>
      <c r="K39" s="21" t="n">
        <f aca="false">'Cash flows'!K28</f>
        <v>1413527.56349119</v>
      </c>
      <c r="L39" s="21" t="n">
        <f aca="false">G31</f>
        <v>25569932.0126368</v>
      </c>
    </row>
    <row r="40" customFormat="false" ht="15" hidden="false" customHeight="false" outlineLevel="0" collapsed="false">
      <c r="A40" s="11" t="s">
        <v>251</v>
      </c>
    </row>
    <row r="41" customFormat="false" ht="15" hidden="false" customHeight="false" outlineLevel="0" collapsed="false">
      <c r="A41" s="40" t="s">
        <v>55</v>
      </c>
      <c r="B41" s="41" t="n">
        <v>0</v>
      </c>
      <c r="C41" s="41" t="n">
        <f aca="false">B41+1</f>
        <v>1</v>
      </c>
      <c r="D41" s="41" t="n">
        <f aca="false">C41+1</f>
        <v>2</v>
      </c>
      <c r="E41" s="41" t="n">
        <f aca="false">D41+1</f>
        <v>3</v>
      </c>
      <c r="F41" s="41" t="n">
        <f aca="false">E41+1</f>
        <v>4</v>
      </c>
      <c r="G41" s="41" t="n">
        <f aca="false">F41+1</f>
        <v>5</v>
      </c>
      <c r="H41" s="41" t="n">
        <f aca="false">G41+1</f>
        <v>6</v>
      </c>
      <c r="I41" s="41" t="n">
        <f aca="false">H41+1</f>
        <v>7</v>
      </c>
      <c r="J41" s="41" t="n">
        <f aca="false">I41+1</f>
        <v>8</v>
      </c>
      <c r="K41" s="41" t="n">
        <f aca="false">J41+1</f>
        <v>9</v>
      </c>
      <c r="L41" s="41" t="n">
        <f aca="false">K41+1</f>
        <v>10</v>
      </c>
    </row>
    <row r="42" customFormat="false" ht="15" hidden="false" customHeight="false" outlineLevel="0" collapsed="false">
      <c r="A42" s="7" t="s">
        <v>252</v>
      </c>
      <c r="B42" s="21" t="n">
        <f aca="false">B36</f>
        <v>-13834920</v>
      </c>
      <c r="C42" s="21" t="n">
        <f aca="false">C36</f>
        <v>-1108947.292</v>
      </c>
      <c r="D42" s="21" t="n">
        <f aca="false">D36</f>
        <v>233216.832</v>
      </c>
      <c r="E42" s="21" t="n">
        <f aca="false">E36</f>
        <v>463849.15772</v>
      </c>
      <c r="F42" s="21" t="n">
        <f aca="false">F36</f>
        <v>999052.6252437</v>
      </c>
      <c r="G42" s="21" t="n">
        <f aca="false">G36</f>
        <v>1218241.6421073</v>
      </c>
      <c r="H42" s="21" t="n">
        <f aca="false">H36</f>
        <v>1172328.43601717</v>
      </c>
      <c r="I42" s="21" t="n">
        <f aca="false">I36</f>
        <v>1378950.38170992</v>
      </c>
      <c r="J42" s="21" t="n">
        <f aca="false">J36</f>
        <v>973151.086037178</v>
      </c>
      <c r="K42" s="21" t="n">
        <f aca="false">K36</f>
        <v>1413527.56349119</v>
      </c>
      <c r="L42" s="21" t="n">
        <f aca="false">G28-I28</f>
        <v>21489640.3271352</v>
      </c>
    </row>
    <row r="43" customFormat="false" ht="15" hidden="false" customHeight="false" outlineLevel="0" collapsed="false">
      <c r="A43" s="7" t="s">
        <v>253</v>
      </c>
      <c r="B43" s="21" t="n">
        <f aca="false">B37</f>
        <v>-13834920</v>
      </c>
      <c r="C43" s="21" t="n">
        <f aca="false">C37</f>
        <v>-1108947.292</v>
      </c>
      <c r="D43" s="21" t="n">
        <f aca="false">D37</f>
        <v>233216.832</v>
      </c>
      <c r="E43" s="21" t="n">
        <f aca="false">E37</f>
        <v>463849.15772</v>
      </c>
      <c r="F43" s="21" t="n">
        <f aca="false">F37</f>
        <v>999052.6252437</v>
      </c>
      <c r="G43" s="21" t="n">
        <f aca="false">G37</f>
        <v>1218241.6421073</v>
      </c>
      <c r="H43" s="21" t="n">
        <f aca="false">H37</f>
        <v>1172328.43601717</v>
      </c>
      <c r="I43" s="21" t="n">
        <f aca="false">I37</f>
        <v>1378950.38170992</v>
      </c>
      <c r="J43" s="21" t="n">
        <f aca="false">J37</f>
        <v>973151.086037178</v>
      </c>
      <c r="K43" s="21" t="n">
        <f aca="false">K37</f>
        <v>1413527.56349119</v>
      </c>
      <c r="L43" s="21" t="n">
        <f aca="false">G29-I29</f>
        <v>19753697.8085801</v>
      </c>
    </row>
    <row r="44" customFormat="false" ht="15" hidden="false" customHeight="false" outlineLevel="0" collapsed="false">
      <c r="A44" s="7" t="s">
        <v>254</v>
      </c>
      <c r="B44" s="21" t="n">
        <f aca="false">B38</f>
        <v>-13834920</v>
      </c>
      <c r="C44" s="21" t="n">
        <f aca="false">C38</f>
        <v>-1108947.292</v>
      </c>
      <c r="D44" s="21" t="n">
        <f aca="false">D38</f>
        <v>233216.832</v>
      </c>
      <c r="E44" s="21" t="n">
        <f aca="false">E38</f>
        <v>463849.15772</v>
      </c>
      <c r="F44" s="21" t="n">
        <f aca="false">F38</f>
        <v>999052.6252437</v>
      </c>
      <c r="G44" s="21" t="n">
        <f aca="false">G38</f>
        <v>1218241.6421073</v>
      </c>
      <c r="H44" s="21" t="n">
        <f aca="false">H38</f>
        <v>1172328.43601717</v>
      </c>
      <c r="I44" s="21" t="n">
        <f aca="false">I38</f>
        <v>1378950.38170992</v>
      </c>
      <c r="J44" s="21" t="n">
        <f aca="false">J38</f>
        <v>973151.086037178</v>
      </c>
      <c r="K44" s="21" t="n">
        <f aca="false">K38</f>
        <v>1413527.56349119</v>
      </c>
      <c r="L44" s="21" t="n">
        <f aca="false">G30-I30</f>
        <v>18476150.9731649</v>
      </c>
    </row>
    <row r="45" customFormat="false" ht="15" hidden="false" customHeight="false" outlineLevel="0" collapsed="false">
      <c r="A45" s="7" t="s">
        <v>255</v>
      </c>
      <c r="B45" s="21" t="n">
        <f aca="false">B39</f>
        <v>-13834920</v>
      </c>
      <c r="C45" s="21" t="n">
        <f aca="false">C39</f>
        <v>-1108947.292</v>
      </c>
      <c r="D45" s="21" t="n">
        <f aca="false">D39</f>
        <v>233216.832</v>
      </c>
      <c r="E45" s="21" t="n">
        <f aca="false">E39</f>
        <v>463849.15772</v>
      </c>
      <c r="F45" s="21" t="n">
        <f aca="false">F39</f>
        <v>999052.6252437</v>
      </c>
      <c r="G45" s="21" t="n">
        <f aca="false">G39</f>
        <v>1218241.6421073</v>
      </c>
      <c r="H45" s="21" t="n">
        <f aca="false">H39</f>
        <v>1172328.43601717</v>
      </c>
      <c r="I45" s="21" t="n">
        <f aca="false">I39</f>
        <v>1378950.38170992</v>
      </c>
      <c r="J45" s="21" t="n">
        <f aca="false">J39</f>
        <v>973151.086037178</v>
      </c>
      <c r="K45" s="21" t="n">
        <f aca="false">K39</f>
        <v>1413527.56349119</v>
      </c>
      <c r="L45" s="21" t="n">
        <f aca="false">G31-I31</f>
        <v>21874255.5236442</v>
      </c>
    </row>
    <row r="47" customFormat="false" ht="15" hidden="false" customHeight="false" outlineLevel="0" collapsed="false">
      <c r="A47" s="35" t="s">
        <v>256</v>
      </c>
    </row>
    <row r="49" customFormat="false" ht="15" hidden="false" customHeight="false" outlineLevel="0" collapsed="false">
      <c r="A49" s="7" t="s">
        <v>257</v>
      </c>
      <c r="B49" s="12" t="n">
        <f aca="false">(Waterfall!K16+Waterfall!L10+Waterfall!L11)</f>
        <v>14398090.7594616</v>
      </c>
    </row>
    <row r="50" customFormat="false" ht="15" hidden="false" customHeight="false" outlineLevel="0" collapsed="false">
      <c r="A50" s="7" t="s">
        <v>258</v>
      </c>
      <c r="B50" s="12" t="n">
        <f aca="false">CatchUp*B49</f>
        <v>3599522.68986541</v>
      </c>
    </row>
    <row r="51" customFormat="false" ht="15" hidden="false" customHeight="false" outlineLevel="0" collapsed="false">
      <c r="A51" s="7" t="s">
        <v>259</v>
      </c>
      <c r="B51" s="27" t="n">
        <f aca="false">ExitNOI*(1-SaleCost)/(NetExit+B50-Waterfall!L15)</f>
        <v>0.0632849202090697</v>
      </c>
    </row>
    <row r="52" customFormat="false" ht="15" hidden="false" customHeight="false" outlineLevel="0" collapsed="false">
      <c r="A52" s="7" t="s">
        <v>260</v>
      </c>
      <c r="B52" s="27" t="n">
        <f aca="false">'Exit yield'!A21</f>
        <v>0.0698530099985244</v>
      </c>
    </row>
    <row r="53" customFormat="false" ht="15" hidden="false" customHeight="false" outlineLevel="0" collapsed="false">
      <c r="A53" s="34" t="s">
        <v>261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262</v>
      </c>
    </row>
    <row r="2" customFormat="false" ht="15" hidden="false" customHeight="false" outlineLevel="0" collapsed="false">
      <c r="A2" s="2" t="s">
        <v>263</v>
      </c>
    </row>
    <row r="3" customFormat="false" ht="15" hidden="false" customHeight="false" outlineLevel="0" collapsed="false">
      <c r="A3" s="3"/>
      <c r="B3" s="3"/>
      <c r="C3" s="3"/>
      <c r="D3" s="3"/>
      <c r="E3" s="3"/>
      <c r="F3" s="3"/>
    </row>
    <row r="5" customFormat="false" ht="15" hidden="false" customHeight="false" outlineLevel="0" collapsed="false">
      <c r="A5" s="18" t="s">
        <v>264</v>
      </c>
    </row>
    <row r="7" customFormat="false" ht="30" hidden="false" customHeight="true" outlineLevel="0" collapsed="false">
      <c r="A7" s="16" t="s">
        <v>265</v>
      </c>
      <c r="B7" s="17" t="s">
        <v>266</v>
      </c>
      <c r="C7" s="17" t="s">
        <v>267</v>
      </c>
      <c r="D7" s="17" t="s">
        <v>268</v>
      </c>
      <c r="E7" s="17" t="s">
        <v>269</v>
      </c>
      <c r="F7" s="17" t="s">
        <v>270</v>
      </c>
    </row>
    <row r="8" customFormat="false" ht="15" hidden="false" customHeight="false" outlineLevel="0" collapsed="false">
      <c r="A8" s="7" t="s">
        <v>271</v>
      </c>
      <c r="B8" s="7" t="s">
        <v>118</v>
      </c>
      <c r="C8" s="23" t="n">
        <v>0.059693</v>
      </c>
      <c r="D8" s="23" t="n">
        <f aca="false">Yields!D8</f>
        <v>0.0596931818181818</v>
      </c>
      <c r="E8" s="42" t="n">
        <f aca="false">D8-C8</f>
        <v>1.8181818181584E-007</v>
      </c>
      <c r="F8" s="43" t="str">
        <f aca="false">IF(ABS(E8)&lt;=0.0000005,"PASS","FAIL")</f>
        <v>PASS</v>
      </c>
    </row>
    <row r="9" customFormat="false" ht="15" hidden="false" customHeight="false" outlineLevel="0" collapsed="false">
      <c r="A9" s="44" t="s">
        <v>271</v>
      </c>
      <c r="B9" s="44" t="s">
        <v>120</v>
      </c>
      <c r="C9" s="45" t="n">
        <v>0.055892</v>
      </c>
      <c r="D9" s="45" t="n">
        <f aca="false">Yields!D9</f>
        <v>0.0558924923391216</v>
      </c>
      <c r="E9" s="46" t="n">
        <f aca="false">D9-C9</f>
        <v>4.92339121554997E-007</v>
      </c>
      <c r="F9" s="47" t="str">
        <f aca="false">IF(ABS(E9)&lt;=0.0000005,"PASS","FAIL")</f>
        <v>PASS</v>
      </c>
    </row>
    <row r="10" customFormat="false" ht="15" hidden="false" customHeight="false" outlineLevel="0" collapsed="false">
      <c r="A10" s="7" t="s">
        <v>271</v>
      </c>
      <c r="B10" s="7" t="s">
        <v>122</v>
      </c>
      <c r="C10" s="23" t="n">
        <v>0.054551</v>
      </c>
      <c r="D10" s="23" t="n">
        <f aca="false">Yields!D10</f>
        <v>0.0545510725229826</v>
      </c>
      <c r="E10" s="42" t="n">
        <f aca="false">D10-C10</f>
        <v>7.25229826400997E-008</v>
      </c>
      <c r="F10" s="43" t="str">
        <f aca="false">IF(ABS(E10)&lt;=0.0000005,"PASS","FAIL")</f>
        <v>PASS</v>
      </c>
    </row>
    <row r="11" customFormat="false" ht="15" hidden="false" customHeight="false" outlineLevel="0" collapsed="false">
      <c r="A11" s="44" t="s">
        <v>271</v>
      </c>
      <c r="B11" s="44" t="s">
        <v>124</v>
      </c>
      <c r="C11" s="45" t="n">
        <v>0.048681</v>
      </c>
      <c r="D11" s="45" t="n">
        <f aca="false">Yields!D11</f>
        <v>0.0486807616346787</v>
      </c>
      <c r="E11" s="46" t="n">
        <f aca="false">D11-C11</f>
        <v>-2.38365321314493E-007</v>
      </c>
      <c r="F11" s="47" t="str">
        <f aca="false">IF(ABS(E11)&lt;=0.0000005,"PASS","FAIL")</f>
        <v>PASS</v>
      </c>
    </row>
    <row r="12" customFormat="false" ht="15" hidden="false" customHeight="false" outlineLevel="0" collapsed="false">
      <c r="A12" s="7" t="s">
        <v>271</v>
      </c>
      <c r="B12" s="7" t="s">
        <v>126</v>
      </c>
      <c r="C12" s="23" t="n">
        <v>0.086515</v>
      </c>
      <c r="D12" s="23" t="n">
        <f aca="false">Yields!D12</f>
        <v>0.0865151515151515</v>
      </c>
      <c r="E12" s="42" t="n">
        <f aca="false">D12-C12</f>
        <v>1.51515151522452E-007</v>
      </c>
      <c r="F12" s="43" t="str">
        <f aca="false">IF(ABS(E12)&lt;=0.0000005,"PASS","FAIL")</f>
        <v>PASS</v>
      </c>
    </row>
    <row r="13" customFormat="false" ht="15" hidden="false" customHeight="false" outlineLevel="0" collapsed="false">
      <c r="A13" s="44" t="s">
        <v>271</v>
      </c>
      <c r="B13" s="44" t="s">
        <v>128</v>
      </c>
      <c r="C13" s="45" t="n">
        <v>0.070555</v>
      </c>
      <c r="D13" s="45" t="n">
        <f aca="false">Yields!D13</f>
        <v>0.0705545146098141</v>
      </c>
      <c r="E13" s="46" t="n">
        <f aca="false">D13-C13</f>
        <v>-4.85390185864243E-007</v>
      </c>
      <c r="F13" s="47" t="str">
        <f aca="false">IF(ABS(E13)&lt;=0.0000005,"PASS","FAIL")</f>
        <v>PASS</v>
      </c>
    </row>
    <row r="14" customFormat="false" ht="15" hidden="false" customHeight="false" outlineLevel="0" collapsed="false">
      <c r="A14" s="7" t="s">
        <v>271</v>
      </c>
      <c r="B14" s="7" t="s">
        <v>272</v>
      </c>
      <c r="C14" s="48" t="n">
        <v>1.1012</v>
      </c>
      <c r="D14" s="48" t="n">
        <f aca="false">Yields!B25</f>
        <v>1.10124201835031</v>
      </c>
      <c r="E14" s="42" t="n">
        <f aca="false">D14-C14</f>
        <v>4.20183503131444E-005</v>
      </c>
      <c r="F14" s="43" t="str">
        <f aca="false">IF(ABS(E14)&lt;=0.00005,"PASS","FAIL")</f>
        <v>PASS</v>
      </c>
    </row>
    <row r="15" customFormat="false" ht="15" hidden="false" customHeight="false" outlineLevel="0" collapsed="false">
      <c r="A15" s="44" t="s">
        <v>273</v>
      </c>
      <c r="B15" s="44" t="s">
        <v>134</v>
      </c>
      <c r="C15" s="49" t="n">
        <v>2229184</v>
      </c>
      <c r="D15" s="49" t="n">
        <f aca="false">Yields!B20</f>
        <v>2229184</v>
      </c>
      <c r="E15" s="46" t="n">
        <f aca="false">D15-C15</f>
        <v>0</v>
      </c>
      <c r="F15" s="47" t="str">
        <f aca="false">IF(ABS(E15)&lt;=0.5,"PASS","FAIL")</f>
        <v>PASS</v>
      </c>
    </row>
    <row r="16" customFormat="false" ht="15" hidden="false" customHeight="false" outlineLevel="0" collapsed="false">
      <c r="A16" s="7" t="s">
        <v>273</v>
      </c>
      <c r="B16" s="7" t="s">
        <v>274</v>
      </c>
      <c r="C16" s="21" t="n">
        <v>31595200</v>
      </c>
      <c r="D16" s="21" t="n">
        <f aca="false">AllIn</f>
        <v>31595200</v>
      </c>
      <c r="E16" s="42" t="n">
        <f aca="false">D16-C16</f>
        <v>0</v>
      </c>
      <c r="F16" s="43" t="str">
        <f aca="false">IF(ABS(E16)&lt;=0.5,"PASS","FAIL")</f>
        <v>PASS</v>
      </c>
    </row>
    <row r="17" customFormat="false" ht="15" hidden="false" customHeight="false" outlineLevel="0" collapsed="false">
      <c r="A17" s="44" t="s">
        <v>273</v>
      </c>
      <c r="B17" s="44" t="s">
        <v>136</v>
      </c>
      <c r="C17" s="45" t="n">
        <v>0.070555</v>
      </c>
      <c r="D17" s="45" t="n">
        <f aca="false">Yields!B22</f>
        <v>0.0705545146098141</v>
      </c>
      <c r="E17" s="46" t="n">
        <f aca="false">D17-C17</f>
        <v>-4.85390185864243E-007</v>
      </c>
      <c r="F17" s="47" t="str">
        <f aca="false">IF(ABS(E17)&lt;=0.0000005,"PASS","FAIL")</f>
        <v>PASS</v>
      </c>
    </row>
    <row r="18" customFormat="false" ht="15" hidden="false" customHeight="false" outlineLevel="0" collapsed="false">
      <c r="A18" s="7" t="s">
        <v>273</v>
      </c>
      <c r="B18" s="7" t="s">
        <v>137</v>
      </c>
      <c r="C18" s="48" t="n">
        <v>0.4055</v>
      </c>
      <c r="D18" s="48" t="n">
        <f aca="false">Yields!B24</f>
        <v>0.405451460981414</v>
      </c>
      <c r="E18" s="42" t="n">
        <f aca="false">D18-C18</f>
        <v>-4.85390185861467E-005</v>
      </c>
      <c r="F18" s="43" t="str">
        <f aca="false">IF(ABS(E18)&lt;=0.00005,"PASS","FAIL")</f>
        <v>PASS</v>
      </c>
    </row>
    <row r="19" customFormat="false" ht="15" hidden="false" customHeight="false" outlineLevel="0" collapsed="false">
      <c r="A19" s="44" t="s">
        <v>275</v>
      </c>
      <c r="B19" s="44" t="s">
        <v>144</v>
      </c>
      <c r="C19" s="49" t="n">
        <v>2453319</v>
      </c>
      <c r="D19" s="49" t="n">
        <f aca="false">'Cash flows'!B7</f>
        <v>2453319.3920416</v>
      </c>
      <c r="E19" s="46" t="n">
        <f aca="false">D19-C19</f>
        <v>0.392041597515345</v>
      </c>
      <c r="F19" s="47" t="str">
        <f aca="false">IF(ABS(E19)&lt;=0.5,"PASS","FAIL")</f>
        <v>PASS</v>
      </c>
    </row>
    <row r="20" customFormat="false" ht="15" hidden="false" customHeight="false" outlineLevel="0" collapsed="false">
      <c r="A20" s="7" t="s">
        <v>275</v>
      </c>
      <c r="B20" s="7" t="s">
        <v>276</v>
      </c>
      <c r="C20" s="21" t="n">
        <v>36892021</v>
      </c>
      <c r="D20" s="21" t="n">
        <f aca="false">'Cash flows'!B9</f>
        <v>36892020.9329564</v>
      </c>
      <c r="E20" s="42" t="n">
        <f aca="false">D20-C20</f>
        <v>-0.0670436471700668</v>
      </c>
      <c r="F20" s="43" t="str">
        <f aca="false">IF(ABS(E20)&lt;=0.5,"PASS","FAIL")</f>
        <v>PASS</v>
      </c>
    </row>
    <row r="21" customFormat="false" ht="15" hidden="false" customHeight="false" outlineLevel="0" collapsed="false">
      <c r="A21" s="44" t="s">
        <v>275</v>
      </c>
      <c r="B21" s="44" t="s">
        <v>148</v>
      </c>
      <c r="C21" s="49" t="n">
        <v>36430871</v>
      </c>
      <c r="D21" s="49" t="n">
        <f aca="false">'Cash flows'!B11</f>
        <v>36430870.6712944</v>
      </c>
      <c r="E21" s="46" t="n">
        <f aca="false">D21-C21</f>
        <v>-0.328705601394177</v>
      </c>
      <c r="F21" s="47" t="str">
        <f aca="false">IF(ABS(E21)&lt;=0.5,"PASS","FAIL")</f>
        <v>PASS</v>
      </c>
    </row>
    <row r="22" customFormat="false" ht="15" hidden="false" customHeight="false" outlineLevel="0" collapsed="false">
      <c r="A22" s="7" t="s">
        <v>275</v>
      </c>
      <c r="B22" s="7" t="s">
        <v>149</v>
      </c>
      <c r="C22" s="21" t="n">
        <v>2218656</v>
      </c>
      <c r="D22" s="21" t="n">
        <f aca="false">'Cash flows'!B13</f>
        <v>2218656.31458059</v>
      </c>
      <c r="E22" s="42" t="n">
        <f aca="false">D22-C22</f>
        <v>0.314580589998513</v>
      </c>
      <c r="F22" s="43" t="str">
        <f aca="false">IF(ABS(E22)&lt;=0.5,"PASS","FAIL")</f>
        <v>PASS</v>
      </c>
    </row>
    <row r="23" customFormat="false" ht="15" hidden="false" customHeight="false" outlineLevel="0" collapsed="false">
      <c r="A23" s="44" t="s">
        <v>277</v>
      </c>
      <c r="B23" s="44" t="s">
        <v>162</v>
      </c>
      <c r="C23" s="45" t="n">
        <v>0.068205</v>
      </c>
      <c r="D23" s="45" t="n">
        <f aca="false">'Cash flows'!B32</f>
        <v>0.0682054638348641</v>
      </c>
      <c r="E23" s="46" t="n">
        <f aca="false">D23-C23</f>
        <v>4.63834864058987E-007</v>
      </c>
      <c r="F23" s="47" t="str">
        <f aca="false">IF(ABS(E23)&lt;=0.0000005,"PASS","FAIL")</f>
        <v>PASS</v>
      </c>
    </row>
    <row r="24" customFormat="false" ht="15" hidden="false" customHeight="false" outlineLevel="0" collapsed="false">
      <c r="A24" s="7" t="s">
        <v>277</v>
      </c>
      <c r="B24" s="7" t="s">
        <v>164</v>
      </c>
      <c r="C24" s="23" t="n">
        <v>0.086647</v>
      </c>
      <c r="D24" s="23" t="n">
        <f aca="false">'Cash flows'!B33</f>
        <v>0.0866467604777335</v>
      </c>
      <c r="E24" s="42" t="n">
        <f aca="false">D24-C24</f>
        <v>-2.39522266520797E-007</v>
      </c>
      <c r="F24" s="43" t="str">
        <f aca="false">IF(ABS(E24)&lt;=0.0000005,"PASS","FAIL")</f>
        <v>PASS</v>
      </c>
    </row>
    <row r="25" customFormat="false" ht="15" hidden="false" customHeight="false" outlineLevel="0" collapsed="false">
      <c r="A25" s="44" t="s">
        <v>277</v>
      </c>
      <c r="B25" s="44" t="s">
        <v>165</v>
      </c>
      <c r="C25" s="50" t="n">
        <v>2.1671</v>
      </c>
      <c r="D25" s="50" t="n">
        <f aca="false">'Cash flows'!B34</f>
        <v>2.16710517458723</v>
      </c>
      <c r="E25" s="46" t="n">
        <f aca="false">D25-C25</f>
        <v>5.17458723470199E-006</v>
      </c>
      <c r="F25" s="47" t="str">
        <f aca="false">IF(ABS(E25)&lt;=0.00005,"PASS","FAIL")</f>
        <v>PASS</v>
      </c>
    </row>
    <row r="26" customFormat="false" ht="15" hidden="false" customHeight="false" outlineLevel="0" collapsed="false">
      <c r="A26" s="7" t="s">
        <v>277</v>
      </c>
      <c r="B26" s="7" t="s">
        <v>166</v>
      </c>
      <c r="C26" s="21" t="n">
        <v>16146807</v>
      </c>
      <c r="D26" s="21" t="n">
        <f aca="false">'Cash flows'!B35</f>
        <v>16146806.7220004</v>
      </c>
      <c r="E26" s="42" t="n">
        <f aca="false">D26-C26</f>
        <v>-0.277999578043819</v>
      </c>
      <c r="F26" s="43" t="str">
        <f aca="false">IF(ABS(E26)&lt;=1,"PASS","FAIL")</f>
        <v>PASS</v>
      </c>
    </row>
    <row r="27" customFormat="false" ht="15" hidden="false" customHeight="false" outlineLevel="0" collapsed="false">
      <c r="A27" s="44" t="s">
        <v>277</v>
      </c>
      <c r="B27" s="44" t="s">
        <v>278</v>
      </c>
      <c r="C27" s="49" t="n">
        <v>14943867</v>
      </c>
      <c r="D27" s="49" t="n">
        <f aca="false">'Cash flows'!B36</f>
        <v>14943867.292</v>
      </c>
      <c r="E27" s="46" t="n">
        <f aca="false">D27-C27</f>
        <v>0.291999997571111</v>
      </c>
      <c r="F27" s="47" t="str">
        <f aca="false">IF(ABS(E27)&lt;=0.5,"PASS","FAIL")</f>
        <v>PASS</v>
      </c>
    </row>
    <row r="28" customFormat="false" ht="15" hidden="false" customHeight="false" outlineLevel="0" collapsed="false">
      <c r="A28" s="7" t="s">
        <v>279</v>
      </c>
      <c r="B28" s="7" t="s">
        <v>280</v>
      </c>
      <c r="C28" s="21" t="n">
        <v>44605807</v>
      </c>
      <c r="D28" s="21" t="n">
        <f aca="false">'Exit yield'!B8</f>
        <v>44605807.1280291</v>
      </c>
      <c r="E28" s="42" t="n">
        <f aca="false">D28-C28</f>
        <v>0.128029048442841</v>
      </c>
      <c r="F28" s="43" t="str">
        <f aca="false">IF(ABS(E28)&lt;=0.5,"PASS","FAIL")</f>
        <v>PASS</v>
      </c>
    </row>
    <row r="29" customFormat="false" ht="15" hidden="false" customHeight="false" outlineLevel="0" collapsed="false">
      <c r="A29" s="44" t="s">
        <v>279</v>
      </c>
      <c r="B29" s="44" t="s">
        <v>281</v>
      </c>
      <c r="C29" s="45" t="n">
        <v>0.111765</v>
      </c>
      <c r="D29" s="45" t="n">
        <f aca="false">'Exit yield'!F8</f>
        <v>0.111764922087414</v>
      </c>
      <c r="E29" s="46" t="n">
        <f aca="false">D29-C29</f>
        <v>-7.79125859245999E-008</v>
      </c>
      <c r="F29" s="47" t="str">
        <f aca="false">IF(ABS(E29)&lt;=0.0000005,"PASS","FAIL")</f>
        <v>PASS</v>
      </c>
    </row>
    <row r="30" customFormat="false" ht="15" hidden="false" customHeight="false" outlineLevel="0" collapsed="false">
      <c r="A30" s="7" t="s">
        <v>279</v>
      </c>
      <c r="B30" s="7" t="s">
        <v>282</v>
      </c>
      <c r="C30" s="29" t="n">
        <v>2.7177</v>
      </c>
      <c r="D30" s="29" t="n">
        <f aca="false">'Exit yield'!G8</f>
        <v>2.71769483232536</v>
      </c>
      <c r="E30" s="42" t="n">
        <f aca="false">D30-C30</f>
        <v>-5.16767464420198E-006</v>
      </c>
      <c r="F30" s="43" t="str">
        <f aca="false">IF(ABS(E30)&lt;=0.00005,"PASS","FAIL")</f>
        <v>PASS</v>
      </c>
    </row>
    <row r="31" customFormat="false" ht="15" hidden="false" customHeight="false" outlineLevel="0" collapsed="false">
      <c r="A31" s="44" t="s">
        <v>279</v>
      </c>
      <c r="B31" s="44" t="s">
        <v>283</v>
      </c>
      <c r="C31" s="49" t="n">
        <v>4752834</v>
      </c>
      <c r="D31" s="49" t="n">
        <f aca="false">'Exit yield'!H8</f>
        <v>4752834.11792694</v>
      </c>
      <c r="E31" s="46" t="n">
        <f aca="false">D31-C31</f>
        <v>0.117926940321922</v>
      </c>
      <c r="F31" s="47" t="str">
        <f aca="false">IF(ABS(E31)&lt;=1,"PASS","FAIL")</f>
        <v>PASS</v>
      </c>
    </row>
    <row r="32" customFormat="false" ht="15" hidden="false" customHeight="false" outlineLevel="0" collapsed="false">
      <c r="A32" s="7" t="s">
        <v>279</v>
      </c>
      <c r="B32" s="7" t="s">
        <v>284</v>
      </c>
      <c r="C32" s="21" t="n">
        <v>40888657</v>
      </c>
      <c r="D32" s="21" t="n">
        <f aca="false">'Exit yield'!B10</f>
        <v>40888656.5340266</v>
      </c>
      <c r="E32" s="42" t="n">
        <f aca="false">D32-C32</f>
        <v>-0.465973369777203</v>
      </c>
      <c r="F32" s="43" t="str">
        <f aca="false">IF(ABS(E32)&lt;=0.5,"PASS","FAIL")</f>
        <v>PASS</v>
      </c>
    </row>
    <row r="33" customFormat="false" ht="15" hidden="false" customHeight="false" outlineLevel="0" collapsed="false">
      <c r="A33" s="44" t="s">
        <v>279</v>
      </c>
      <c r="B33" s="44" t="s">
        <v>285</v>
      </c>
      <c r="C33" s="45" t="n">
        <v>0.100347</v>
      </c>
      <c r="D33" s="45" t="n">
        <f aca="false">'Exit yield'!F10</f>
        <v>0.100346729209083</v>
      </c>
      <c r="E33" s="46" t="n">
        <f aca="false">D33-C33</f>
        <v>-2.7079091732829E-007</v>
      </c>
      <c r="F33" s="47" t="str">
        <f aca="false">IF(ABS(E33)&lt;=0.0000005,"PASS","FAIL")</f>
        <v>PASS</v>
      </c>
    </row>
    <row r="34" customFormat="false" ht="15" hidden="false" customHeight="false" outlineLevel="0" collapsed="false">
      <c r="A34" s="7" t="s">
        <v>279</v>
      </c>
      <c r="B34" s="7" t="s">
        <v>286</v>
      </c>
      <c r="C34" s="29" t="n">
        <v>2.4524</v>
      </c>
      <c r="D34" s="29" t="n">
        <f aca="false">'Exit yield'!G10</f>
        <v>2.45237445377764</v>
      </c>
      <c r="E34" s="42" t="n">
        <f aca="false">D34-C34</f>
        <v>-2.55462223615055E-005</v>
      </c>
      <c r="F34" s="43" t="str">
        <f aca="false">IF(ABS(E34)&lt;=0.00005,"PASS","FAIL")</f>
        <v>PASS</v>
      </c>
    </row>
    <row r="35" customFormat="false" ht="15" hidden="false" customHeight="false" outlineLevel="0" collapsed="false">
      <c r="A35" s="44" t="s">
        <v>279</v>
      </c>
      <c r="B35" s="44" t="s">
        <v>287</v>
      </c>
      <c r="C35" s="45" t="n">
        <v>0.081496</v>
      </c>
      <c r="D35" s="45" t="n">
        <f aca="false">'Exit yield'!I11</f>
        <v>0.0814961873018326</v>
      </c>
      <c r="E35" s="46" t="n">
        <f aca="false">D35-C35</f>
        <v>1.87301832627051E-007</v>
      </c>
      <c r="F35" s="47" t="str">
        <f aca="false">IF(ABS(E35)&lt;=0.0000005,"PASS","FAIL")</f>
        <v>PASS</v>
      </c>
    </row>
    <row r="36" customFormat="false" ht="15" hidden="false" customHeight="false" outlineLevel="0" collapsed="false">
      <c r="A36" s="7" t="s">
        <v>279</v>
      </c>
      <c r="B36" s="7" t="s">
        <v>288</v>
      </c>
      <c r="C36" s="21" t="n">
        <v>2589428</v>
      </c>
      <c r="D36" s="21" t="n">
        <f aca="false">'Exit yield'!H12</f>
        <v>2589428.36264558</v>
      </c>
      <c r="E36" s="42" t="n">
        <f aca="false">D36-C36</f>
        <v>0.362645579501987</v>
      </c>
      <c r="F36" s="43" t="str">
        <f aca="false">IF(ABS(E36)&lt;=1,"PASS","FAIL")</f>
        <v>PASS</v>
      </c>
    </row>
    <row r="37" customFormat="false" ht="15" hidden="false" customHeight="false" outlineLevel="0" collapsed="false">
      <c r="A37" s="44" t="s">
        <v>279</v>
      </c>
      <c r="B37" s="44" t="s">
        <v>289</v>
      </c>
      <c r="C37" s="45" t="n">
        <v>0.08</v>
      </c>
      <c r="D37" s="45" t="n">
        <f aca="false">'Exit yield'!I12</f>
        <v>0.08</v>
      </c>
      <c r="E37" s="46" t="n">
        <f aca="false">D37-C37</f>
        <v>0</v>
      </c>
      <c r="F37" s="47" t="str">
        <f aca="false">IF(ABS(E37)&lt;=0.0000005,"PASS","FAIL")</f>
        <v>PASS</v>
      </c>
    </row>
    <row r="38" customFormat="false" ht="15" hidden="false" customHeight="false" outlineLevel="0" collapsed="false">
      <c r="A38" s="7" t="s">
        <v>279</v>
      </c>
      <c r="B38" s="7" t="s">
        <v>290</v>
      </c>
      <c r="C38" s="21" t="n">
        <v>36892021</v>
      </c>
      <c r="D38" s="21" t="n">
        <f aca="false">'Exit yield'!B13</f>
        <v>36892020.9329564</v>
      </c>
      <c r="E38" s="42" t="n">
        <f aca="false">D38-C38</f>
        <v>-0.0670436471700668</v>
      </c>
      <c r="F38" s="43" t="str">
        <f aca="false">IF(ABS(E38)&lt;=0.5,"PASS","FAIL")</f>
        <v>PASS</v>
      </c>
    </row>
    <row r="39" customFormat="false" ht="15" hidden="false" customHeight="false" outlineLevel="0" collapsed="false">
      <c r="A39" s="44" t="s">
        <v>279</v>
      </c>
      <c r="B39" s="44" t="s">
        <v>291</v>
      </c>
      <c r="C39" s="49" t="n">
        <v>1748716</v>
      </c>
      <c r="D39" s="49" t="n">
        <f aca="false">'Exit yield'!H13</f>
        <v>1748715.96253878</v>
      </c>
      <c r="E39" s="46" t="n">
        <f aca="false">D39-C39</f>
        <v>-0.0374612156301737</v>
      </c>
      <c r="F39" s="47" t="str">
        <f aca="false">IF(ABS(E39)&lt;=1,"PASS","FAIL")</f>
        <v>PASS</v>
      </c>
    </row>
    <row r="40" customFormat="false" ht="15" hidden="false" customHeight="false" outlineLevel="0" collapsed="false">
      <c r="A40" s="7" t="s">
        <v>279</v>
      </c>
      <c r="B40" s="7" t="s">
        <v>292</v>
      </c>
      <c r="C40" s="23" t="n">
        <v>0.068205</v>
      </c>
      <c r="D40" s="23" t="n">
        <f aca="false">'Exit yield'!E13</f>
        <v>0.0682054638348641</v>
      </c>
      <c r="E40" s="42" t="n">
        <f aca="false">D40-C40</f>
        <v>4.63834864058987E-007</v>
      </c>
      <c r="F40" s="43" t="str">
        <f aca="false">IF(ABS(E40)&lt;=0.0000005,"PASS","FAIL")</f>
        <v>PASS</v>
      </c>
    </row>
    <row r="41" customFormat="false" ht="15" hidden="false" customHeight="false" outlineLevel="0" collapsed="false">
      <c r="A41" s="44" t="s">
        <v>279</v>
      </c>
      <c r="B41" s="44" t="s">
        <v>293</v>
      </c>
      <c r="C41" s="49" t="n">
        <v>35047420</v>
      </c>
      <c r="D41" s="49" t="n">
        <f aca="false">'Exit yield'!B14</f>
        <v>35047419.8863085</v>
      </c>
      <c r="E41" s="46" t="n">
        <f aca="false">D41-C41</f>
        <v>-0.113691464066505</v>
      </c>
      <c r="F41" s="47" t="str">
        <f aca="false">IF(ABS(E41)&lt;=0.5,"PASS","FAIL")</f>
        <v>PASS</v>
      </c>
    </row>
    <row r="42" customFormat="false" ht="15" hidden="false" customHeight="false" outlineLevel="0" collapsed="false">
      <c r="A42" s="7" t="s">
        <v>279</v>
      </c>
      <c r="B42" s="7" t="s">
        <v>294</v>
      </c>
      <c r="C42" s="21" t="n">
        <v>0</v>
      </c>
      <c r="D42" s="21" t="n">
        <f aca="false">'Exit yield'!H14</f>
        <v>0</v>
      </c>
      <c r="E42" s="42" t="n">
        <f aca="false">D42-C42</f>
        <v>0</v>
      </c>
      <c r="F42" s="43" t="str">
        <f aca="false">IF(ABS(E42)&lt;=1,"PASS","FAIL")</f>
        <v>PASS</v>
      </c>
    </row>
    <row r="43" customFormat="false" ht="15" hidden="false" customHeight="false" outlineLevel="0" collapsed="false">
      <c r="A43" s="44" t="s">
        <v>279</v>
      </c>
      <c r="B43" s="44" t="s">
        <v>295</v>
      </c>
      <c r="C43" s="45" t="n">
        <v>0.079714</v>
      </c>
      <c r="D43" s="45" t="n">
        <f aca="false">'Exit yield'!F14</f>
        <v>0.0797144174655011</v>
      </c>
      <c r="E43" s="46" t="n">
        <f aca="false">D43-C43</f>
        <v>4.17465501070802E-007</v>
      </c>
      <c r="F43" s="47" t="str">
        <f aca="false">IF(ABS(E43)&lt;=0.0000005,"PASS","FAIL")</f>
        <v>PASS</v>
      </c>
    </row>
    <row r="44" customFormat="false" ht="15" hidden="false" customHeight="false" outlineLevel="0" collapsed="false">
      <c r="A44" s="7" t="s">
        <v>279</v>
      </c>
      <c r="B44" s="7" t="s">
        <v>296</v>
      </c>
      <c r="C44" s="23" t="n">
        <v>0.070263</v>
      </c>
      <c r="D44" s="23" t="n">
        <f aca="false">'Exit yield'!I16</f>
        <v>0.0702632789093163</v>
      </c>
      <c r="E44" s="42" t="n">
        <f aca="false">D44-C44</f>
        <v>2.78909316281384E-007</v>
      </c>
      <c r="F44" s="43" t="str">
        <f aca="false">IF(ABS(E44)&lt;=0.0000005,"PASS","FAIL")</f>
        <v>PASS</v>
      </c>
    </row>
    <row r="45" customFormat="false" ht="15" hidden="false" customHeight="false" outlineLevel="0" collapsed="false">
      <c r="A45" s="44" t="s">
        <v>279</v>
      </c>
      <c r="B45" s="44" t="s">
        <v>297</v>
      </c>
      <c r="C45" s="50" t="n">
        <v>1.7227</v>
      </c>
      <c r="D45" s="50" t="n">
        <f aca="false">'Exit yield'!G18</f>
        <v>1.72274341277141</v>
      </c>
      <c r="E45" s="46" t="n">
        <f aca="false">D45-C45</f>
        <v>4.34127714143973E-005</v>
      </c>
      <c r="F45" s="47" t="str">
        <f aca="false">IF(ABS(E45)&lt;=0.00005,"PASS","FAIL")</f>
        <v>PASS</v>
      </c>
    </row>
    <row r="46" customFormat="false" ht="15" hidden="false" customHeight="false" outlineLevel="0" collapsed="false">
      <c r="A46" s="7" t="s">
        <v>279</v>
      </c>
      <c r="B46" s="7" t="s">
        <v>298</v>
      </c>
      <c r="C46" s="21" t="n">
        <v>28862581</v>
      </c>
      <c r="D46" s="21" t="n">
        <f aca="false">'Exit yield'!B19</f>
        <v>28862581.0828423</v>
      </c>
      <c r="E46" s="42" t="n">
        <f aca="false">D46-C46</f>
        <v>0.0828423202037811</v>
      </c>
      <c r="F46" s="43" t="str">
        <f aca="false">IF(ABS(E46)&lt;=0.5,"PASS","FAIL")</f>
        <v>PASS</v>
      </c>
    </row>
    <row r="47" customFormat="false" ht="15" hidden="false" customHeight="false" outlineLevel="0" collapsed="false">
      <c r="A47" s="44" t="s">
        <v>279</v>
      </c>
      <c r="B47" s="44" t="s">
        <v>299</v>
      </c>
      <c r="C47" s="45" t="n">
        <v>0.052662</v>
      </c>
      <c r="D47" s="45" t="n">
        <f aca="false">'Exit yield'!F19</f>
        <v>0.0526618019107081</v>
      </c>
      <c r="E47" s="46" t="n">
        <f aca="false">D47-C47</f>
        <v>-1.98089291865433E-007</v>
      </c>
      <c r="F47" s="47" t="str">
        <f aca="false">IF(ABS(E47)&lt;=0.0000005,"PASS","FAIL")</f>
        <v>PASS</v>
      </c>
    </row>
    <row r="48" customFormat="false" ht="15" hidden="false" customHeight="false" outlineLevel="0" collapsed="false">
      <c r="A48" s="7" t="s">
        <v>279</v>
      </c>
      <c r="B48" s="7" t="s">
        <v>300</v>
      </c>
      <c r="C48" s="23" t="n">
        <v>0.078641</v>
      </c>
      <c r="D48" s="23" t="n">
        <f aca="false">'Exit yield'!F20</f>
        <v>0.0786412496416143</v>
      </c>
      <c r="E48" s="42" t="n">
        <f aca="false">D48-C48</f>
        <v>2.49641614324947E-007</v>
      </c>
      <c r="F48" s="43" t="str">
        <f aca="false">IF(ABS(E48)&lt;=0.0000005,"PASS","FAIL")</f>
        <v>PASS</v>
      </c>
    </row>
    <row r="49" customFormat="false" ht="15" hidden="false" customHeight="false" outlineLevel="0" collapsed="false">
      <c r="A49" s="44" t="s">
        <v>279</v>
      </c>
      <c r="B49" s="44" t="s">
        <v>301</v>
      </c>
      <c r="C49" s="45" t="n">
        <v>0.063438</v>
      </c>
      <c r="D49" s="45" t="n">
        <f aca="false">'Exit yield'!E20</f>
        <v>0.0634377147912664</v>
      </c>
      <c r="E49" s="46" t="n">
        <f aca="false">D49-C49</f>
        <v>-2.85208733602493E-007</v>
      </c>
      <c r="F49" s="47" t="str">
        <f aca="false">IF(ABS(E49)&lt;=0.0000005,"PASS","FAIL")</f>
        <v>PASS</v>
      </c>
    </row>
    <row r="50" customFormat="false" ht="15" hidden="false" customHeight="false" outlineLevel="0" collapsed="false">
      <c r="A50" s="7" t="s">
        <v>279</v>
      </c>
      <c r="B50" s="7" t="s">
        <v>302</v>
      </c>
      <c r="C50" s="21" t="n">
        <v>0</v>
      </c>
      <c r="D50" s="21" t="n">
        <f aca="false">'Exit yield'!H20</f>
        <v>0</v>
      </c>
      <c r="E50" s="42" t="n">
        <f aca="false">D50-C50</f>
        <v>0</v>
      </c>
      <c r="F50" s="43" t="str">
        <f aca="false">IF(ABS(E50)&lt;=1,"PASS","FAIL")</f>
        <v>PASS</v>
      </c>
    </row>
    <row r="51" customFormat="false" ht="15" hidden="false" customHeight="false" outlineLevel="0" collapsed="false">
      <c r="A51" s="44" t="s">
        <v>279</v>
      </c>
      <c r="B51" s="44" t="s">
        <v>303</v>
      </c>
      <c r="C51" s="45" t="n">
        <v>0.078641</v>
      </c>
      <c r="D51" s="45" t="n">
        <f aca="false">'Exit yield'!I20</f>
        <v>0.0786412496416143</v>
      </c>
      <c r="E51" s="46" t="n">
        <f aca="false">D51-C51</f>
        <v>2.49641614324947E-007</v>
      </c>
      <c r="F51" s="47" t="str">
        <f aca="false">IF(ABS(E51)&lt;=0.0000005,"PASS","FAIL")</f>
        <v>PASS</v>
      </c>
    </row>
    <row r="52" customFormat="false" ht="15" hidden="false" customHeight="false" outlineLevel="0" collapsed="false">
      <c r="A52" s="7" t="s">
        <v>279</v>
      </c>
      <c r="B52" s="7" t="s">
        <v>304</v>
      </c>
      <c r="C52" s="23" t="n">
        <v>0.069853</v>
      </c>
      <c r="D52" s="23" t="n">
        <f aca="false">'Exit yield'!A21</f>
        <v>0.0698530099985244</v>
      </c>
      <c r="E52" s="42" t="n">
        <f aca="false">D52-C52</f>
        <v>9.99852443894778E-009</v>
      </c>
      <c r="F52" s="43" t="str">
        <f aca="false">IF(ABS(E52)&lt;=0.0000005,"PASS","FAIL")</f>
        <v>PASS</v>
      </c>
    </row>
    <row r="53" customFormat="false" ht="15" hidden="false" customHeight="false" outlineLevel="0" collapsed="false">
      <c r="A53" s="7" t="s">
        <v>275</v>
      </c>
      <c r="B53" s="7" t="s">
        <v>305</v>
      </c>
      <c r="C53" s="21" t="n">
        <v>33363253</v>
      </c>
      <c r="D53" s="21" t="n">
        <f aca="false">'Other exits'!B10</f>
        <v>33363252.8508359</v>
      </c>
      <c r="E53" s="21" t="n">
        <f aca="false">D53-C53</f>
        <v>-0.149164061993361</v>
      </c>
      <c r="F53" s="11" t="str">
        <f aca="false">IF(ABS(E53)&lt;=1,"PASS","FAIL")</f>
        <v>PASS</v>
      </c>
    </row>
    <row r="54" customFormat="false" ht="15" hidden="false" customHeight="false" outlineLevel="0" collapsed="false">
      <c r="A54" s="7" t="s">
        <v>275</v>
      </c>
      <c r="B54" s="7" t="s">
        <v>306</v>
      </c>
      <c r="C54" s="21" t="n">
        <v>32946212</v>
      </c>
      <c r="D54" s="21" t="n">
        <f aca="false">'Other exits'!B11</f>
        <v>32946212.1902005</v>
      </c>
      <c r="E54" s="21" t="n">
        <f aca="false">D54-C54</f>
        <v>0.190200489014387</v>
      </c>
      <c r="F54" s="11" t="str">
        <f aca="false">IF(ABS(E54)&lt;=1,"PASS","FAIL")</f>
        <v>PASS</v>
      </c>
    </row>
    <row r="55" customFormat="false" ht="15" hidden="false" customHeight="false" outlineLevel="0" collapsed="false">
      <c r="A55" s="7" t="s">
        <v>275</v>
      </c>
      <c r="B55" s="7" t="s">
        <v>307</v>
      </c>
      <c r="C55" s="21" t="n">
        <v>3484658</v>
      </c>
      <c r="D55" s="21" t="n">
        <f aca="false">'Other exits'!B13</f>
        <v>3484658.48109391</v>
      </c>
      <c r="E55" s="21" t="n">
        <f aca="false">D55-C55</f>
        <v>0.481093909591436</v>
      </c>
      <c r="F55" s="11" t="str">
        <f aca="false">IF(ABS(E55)&lt;=1,"PASS","FAIL")</f>
        <v>PASS</v>
      </c>
    </row>
    <row r="56" customFormat="false" ht="15" hidden="false" customHeight="false" outlineLevel="0" collapsed="false">
      <c r="A56" s="7" t="s">
        <v>275</v>
      </c>
      <c r="B56" s="7" t="s">
        <v>308</v>
      </c>
      <c r="C56" s="21" t="n">
        <v>3528768</v>
      </c>
      <c r="D56" s="21" t="n">
        <f aca="false">'Other exits'!B12</f>
        <v>3528768.08212042</v>
      </c>
      <c r="E56" s="21" t="n">
        <f aca="false">D56-C56</f>
        <v>0.0821204148232937</v>
      </c>
      <c r="F56" s="11" t="str">
        <f aca="false">IF(ABS(E56)&lt;=1,"PASS","FAIL")</f>
        <v>PASS</v>
      </c>
    </row>
    <row r="57" customFormat="false" ht="15" hidden="false" customHeight="false" outlineLevel="0" collapsed="false">
      <c r="A57" s="7" t="s">
        <v>275</v>
      </c>
      <c r="B57" s="7" t="s">
        <v>309</v>
      </c>
      <c r="C57" s="23" t="n">
        <v>0.073534</v>
      </c>
      <c r="D57" s="23" t="n">
        <f aca="false">'Other exits'!B16</f>
        <v>0.073533579085054</v>
      </c>
      <c r="E57" s="23" t="n">
        <f aca="false">D57-C57</f>
        <v>-4.20914946008821E-007</v>
      </c>
      <c r="F57" s="11" t="str">
        <f aca="false">IF(ABS(E57)&lt;=0.0000005,"PASS","FAIL")</f>
        <v>PASS</v>
      </c>
    </row>
    <row r="58" customFormat="false" ht="15" hidden="false" customHeight="false" outlineLevel="0" collapsed="false">
      <c r="A58" s="7" t="s">
        <v>275</v>
      </c>
      <c r="B58" s="7" t="s">
        <v>310</v>
      </c>
      <c r="C58" s="23" t="n">
        <v>0.072984</v>
      </c>
      <c r="D58" s="23" t="n">
        <f aca="false">'Other exits'!J29</f>
        <v>0.0729843294655569</v>
      </c>
      <c r="E58" s="23" t="n">
        <f aca="false">D58-C58</f>
        <v>3.2946555689195E-007</v>
      </c>
      <c r="F58" s="11" t="str">
        <f aca="false">IF(ABS(E58)&lt;=0.0000005,"PASS","FAIL")</f>
        <v>PASS</v>
      </c>
    </row>
    <row r="59" customFormat="false" ht="15" hidden="false" customHeight="false" outlineLevel="0" collapsed="false">
      <c r="A59" s="7" t="s">
        <v>275</v>
      </c>
      <c r="B59" s="7" t="s">
        <v>311</v>
      </c>
      <c r="C59" s="21" t="n">
        <v>0</v>
      </c>
      <c r="D59" s="21" t="n">
        <f aca="false">'Other exits'!I29</f>
        <v>0</v>
      </c>
      <c r="E59" s="21" t="n">
        <f aca="false">D59-C59</f>
        <v>0</v>
      </c>
      <c r="F59" s="11" t="str">
        <f aca="false">IF(ABS(E59)&lt;=0.5,"PASS","FAIL")</f>
        <v>PASS</v>
      </c>
    </row>
    <row r="60" customFormat="false" ht="15" hidden="false" customHeight="false" outlineLevel="0" collapsed="false">
      <c r="A60" s="7" t="s">
        <v>275</v>
      </c>
      <c r="B60" s="7" t="s">
        <v>312</v>
      </c>
      <c r="C60" s="21" t="n">
        <v>2212879</v>
      </c>
      <c r="D60" s="21" t="n">
        <f aca="false">'Other exits'!B21</f>
        <v>2212879.12798681</v>
      </c>
      <c r="E60" s="21" t="n">
        <f aca="false">D60-C60</f>
        <v>0.127986805513501</v>
      </c>
      <c r="F60" s="11" t="str">
        <f aca="false">IF(ABS(E60)&lt;=1,"PASS","FAIL")</f>
        <v>PASS</v>
      </c>
    </row>
    <row r="61" customFormat="false" ht="15" hidden="false" customHeight="false" outlineLevel="0" collapsed="false">
      <c r="A61" s="7" t="s">
        <v>275</v>
      </c>
      <c r="B61" s="7" t="s">
        <v>313</v>
      </c>
      <c r="C61" s="21" t="n">
        <v>3615643</v>
      </c>
      <c r="D61" s="21" t="n">
        <f aca="false">'Other exits'!B23</f>
        <v>3615643.06849311</v>
      </c>
      <c r="E61" s="21" t="n">
        <f aca="false">D61-C61</f>
        <v>0.0684931129217148</v>
      </c>
      <c r="F61" s="11" t="str">
        <f aca="false">IF(ABS(E61)&lt;=1,"PASS","FAIL")</f>
        <v>PASS</v>
      </c>
    </row>
    <row r="62" customFormat="false" ht="15" hidden="false" customHeight="false" outlineLevel="0" collapsed="false">
      <c r="A62" s="7" t="s">
        <v>277</v>
      </c>
      <c r="B62" s="7" t="s">
        <v>314</v>
      </c>
      <c r="C62" s="23" t="n">
        <v>0.086647</v>
      </c>
      <c r="D62" s="23" t="n">
        <f aca="false">'Other exits'!J28</f>
        <v>0.0866467604777335</v>
      </c>
      <c r="E62" s="23" t="n">
        <f aca="false">D62-C62</f>
        <v>-2.39522266520797E-007</v>
      </c>
      <c r="F62" s="11" t="str">
        <f aca="false">IF(ABS(E62)&lt;=0.0000005,"PASS","FAIL")</f>
        <v>PASS</v>
      </c>
    </row>
    <row r="63" customFormat="false" ht="15" hidden="false" customHeight="false" outlineLevel="0" collapsed="false">
      <c r="A63" s="7" t="s">
        <v>279</v>
      </c>
      <c r="B63" s="7" t="s">
        <v>315</v>
      </c>
      <c r="C63" s="21" t="n">
        <v>1748716</v>
      </c>
      <c r="D63" s="21" t="n">
        <f aca="false">'Other exits'!I28</f>
        <v>1748715.96253878</v>
      </c>
      <c r="E63" s="21" t="n">
        <f aca="false">D63-C63</f>
        <v>-0.0374612174928188</v>
      </c>
      <c r="F63" s="11" t="str">
        <f aca="false">IF(ABS(E63)&lt;=0.5,"PASS","FAIL")</f>
        <v>PASS</v>
      </c>
    </row>
    <row r="64" customFormat="false" ht="15" hidden="false" customHeight="false" outlineLevel="0" collapsed="false">
      <c r="A64" s="7" t="s">
        <v>279</v>
      </c>
      <c r="B64" s="7" t="s">
        <v>316</v>
      </c>
      <c r="C64" s="21" t="n">
        <v>3695676</v>
      </c>
      <c r="D64" s="21" t="n">
        <f aca="false">'Other exits'!I31</f>
        <v>3695676.48899265</v>
      </c>
      <c r="E64" s="21" t="n">
        <f aca="false">D64-C64</f>
        <v>0.488992652855814</v>
      </c>
      <c r="F64" s="11" t="str">
        <f aca="false">IF(ABS(E64)&lt;=0.5,"PASS","FAIL")</f>
        <v>PASS</v>
      </c>
    </row>
    <row r="65" customFormat="false" ht="15" hidden="false" customHeight="false" outlineLevel="0" collapsed="false">
      <c r="A65" s="7" t="s">
        <v>279</v>
      </c>
      <c r="B65" s="7" t="s">
        <v>317</v>
      </c>
      <c r="C65" s="23" t="n">
        <v>0.081496</v>
      </c>
      <c r="D65" s="23" t="n">
        <f aca="false">'Other exits'!K31</f>
        <v>0.0814961873018326</v>
      </c>
      <c r="E65" s="23" t="n">
        <f aca="false">D65-C65</f>
        <v>1.87301832627051E-007</v>
      </c>
      <c r="F65" s="11" t="str">
        <f aca="false">IF(ABS(E65)&lt;=0.0000005,"PASS","FAIL")</f>
        <v>PASS</v>
      </c>
    </row>
    <row r="66" customFormat="false" ht="15" hidden="false" customHeight="false" outlineLevel="0" collapsed="false">
      <c r="A66" s="7" t="s">
        <v>318</v>
      </c>
      <c r="B66" s="7" t="s">
        <v>319</v>
      </c>
      <c r="C66" s="23" t="n">
        <v>0.06752</v>
      </c>
      <c r="D66" s="23" t="n">
        <f aca="false">'Other exits'!J30</f>
        <v>0.0675204662288504</v>
      </c>
      <c r="E66" s="23" t="n">
        <f aca="false">D66-C66</f>
        <v>4.66228850373729E-007</v>
      </c>
      <c r="F66" s="11" t="str">
        <f aca="false">IF(ABS(E66)&lt;=0.0000005,"PASS","FAIL")</f>
        <v>PASS</v>
      </c>
    </row>
    <row r="67" customFormat="false" ht="15" hidden="false" customHeight="false" outlineLevel="0" collapsed="false">
      <c r="A67" s="7" t="s">
        <v>279</v>
      </c>
      <c r="B67" s="7" t="s">
        <v>259</v>
      </c>
      <c r="C67" s="23" t="n">
        <v>0.063285</v>
      </c>
      <c r="D67" s="23" t="n">
        <f aca="false">'Other exits'!B51</f>
        <v>0.0632849202090697</v>
      </c>
      <c r="E67" s="23" t="n">
        <f aca="false">D67-C67</f>
        <v>-7.97909303212885E-008</v>
      </c>
      <c r="F67" s="11" t="str">
        <f aca="false">IF(ABS(E67)&lt;=0.0000005,"PASS","FAIL")</f>
        <v>PASS</v>
      </c>
    </row>
    <row r="68" customFormat="false" ht="15" hidden="false" customHeight="false" outlineLevel="0" collapsed="false">
      <c r="A68" s="7" t="s">
        <v>320</v>
      </c>
      <c r="B68" s="7" t="s">
        <v>321</v>
      </c>
      <c r="C68" s="21" t="n">
        <v>34771969</v>
      </c>
      <c r="D68" s="21" t="n">
        <f aca="false">'Exit yield'!B20</f>
        <v>34771968.960585</v>
      </c>
      <c r="E68" s="21" t="n">
        <f aca="false">D68-C68</f>
        <v>-0.0394150093197823</v>
      </c>
      <c r="F68" s="11" t="str">
        <f aca="false">IF(ABS(E68)&lt;=1,"PASS","FAIL")</f>
        <v>PASS</v>
      </c>
    </row>
    <row r="70" customFormat="false" ht="15" hidden="false" customHeight="false" outlineLevel="0" collapsed="false">
      <c r="B70" s="11" t="s">
        <v>322</v>
      </c>
      <c r="C70" s="11" t="n">
        <f aca="false">COUNTIF(F8:F68,"PASS")</f>
        <v>61</v>
      </c>
    </row>
    <row r="71" customFormat="false" ht="15" hidden="false" customHeight="false" outlineLevel="0" collapsed="false">
      <c r="B71" s="11" t="s">
        <v>323</v>
      </c>
      <c r="C71" s="11" t="n">
        <f aca="false">COUNTIF(F8:F68,"FAIL")</f>
        <v>0</v>
      </c>
    </row>
    <row r="72" customFormat="false" ht="15" hidden="false" customHeight="false" outlineLevel="0" collapsed="false">
      <c r="B72" s="11" t="s">
        <v>324</v>
      </c>
      <c r="C72" s="11" t="str">
        <f aca="false">IF(C71=0,"ALL OK",C71&amp;"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2026-08-29T20:28:24Z</dcterms:created>
  <dc:creator>openpyxl</dc:creator>
  <dc:description/>
  <dc:language>en-US</dc:language>
  <cp:lastModifiedBy/>
  <dcterms:modified xsi:type="dcterms:W3CDTF">2026-09-23T23:30:40Z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