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Rent roll" sheetId="3" state="visible" r:id="rId5"/>
    <sheet name="Income account" sheetId="4" state="visible" r:id="rId6"/>
    <sheet name="Cash flows" sheetId="5" state="visible" r:id="rId7"/>
    <sheet name="Waterfall" sheetId="6" state="visible" r:id="rId8"/>
    <sheet name="Convention" sheetId="7" state="visible" r:id="rId9"/>
    <sheet name="Gearing ladder" sheetId="8" state="visible" r:id="rId10"/>
    <sheet name="Checks" sheetId="9" state="visible" r:id="rId11"/>
  </sheets>
  <definedNames>
    <definedName function="false" hidden="false" name="AcqPct" vbProcedure="false">Inputs!$B$9</definedName>
    <definedName function="false" hidden="false" name="AllIn" vbProcedure="false">Inputs!$B$12</definedName>
    <definedName function="false" hidden="false" name="AMFee" vbProcedure="false">Inputs!$B$38</definedName>
    <definedName function="false" hidden="false" name="AMPct" vbProcedure="false">Inputs!$B$37</definedName>
    <definedName function="false" hidden="false" name="AMTotal" vbProcedure="false">Inputs!$B$40</definedName>
    <definedName function="false" hidden="false" name="Area" vbProcedure="false">Inputs!$B$7</definedName>
    <definedName function="false" hidden="false" name="AreaTot" vbProcedure="false">'Rent roll'!$B$18</definedName>
    <definedName function="false" hidden="false" name="ArrFee" vbProcedure="false">Inputs!$B$32</definedName>
    <definedName function="false" hidden="false" name="ArrPct" vbProcedure="false">Inputs!$B$31</definedName>
    <definedName function="false" hidden="false" name="CapexAmt" vbProcedure="false">Inputs!$C$49:$C$51</definedName>
    <definedName function="false" hidden="false" name="CapexTot" vbProcedure="false">Inputs!$B$11</definedName>
    <definedName function="false" hidden="false" name="CapexYr" vbProcedure="false">Inputs!$B$49:$B$51</definedName>
    <definedName function="false" hidden="false" name="CatchUp" vbProcedure="false">Inputs!$B$43</definedName>
    <definedName function="false" hidden="false" name="Credit" vbProcedure="false">Waterfall!$B$9</definedName>
    <definedName function="false" hidden="false" name="Debt" vbProcedure="false">Inputs!$B$28</definedName>
    <definedName function="false" hidden="false" name="DebtRate" vbProcedure="false">Inputs!$B$29</definedName>
    <definedName function="false" hidden="false" name="EqFlows" vbProcedure="false">'Cash flows'!$B$28:$L$28</definedName>
    <definedName function="false" hidden="false" name="Equity0" vbProcedure="false">Inputs!$B$33</definedName>
    <definedName function="false" hidden="false" name="ErvTot" vbProcedure="false">'Rent roll'!$D$18</definedName>
    <definedName function="false" hidden="false" name="ExitNOI" vbProcedure="false">'Cash flows'!$B$7</definedName>
    <definedName function="false" hidden="false" name="ExitYld" vbProcedure="false">Inputs!$B$21</definedName>
    <definedName function="false" hidden="false" name="GearAlt" vbProcedure="false">Inputs!$B$44</definedName>
    <definedName function="false" hidden="false" name="Gearing" vbProcedure="false">Inputs!$B$27</definedName>
    <definedName function="false" hidden="false" name="GrossExit" vbProcedure="false">'Cash flows'!$B$9</definedName>
    <definedName function="false" hidden="false" name="Growth" vbProcedure="false">Inputs!$B$16</definedName>
    <definedName function="false" hidden="false" name="Hold" vbProcedure="false">Inputs!$B$39</definedName>
    <definedName function="false" hidden="false" name="Interest" vbProcedure="false">Inputs!$B$30</definedName>
    <definedName function="false" hidden="false" name="LetFee" vbProcedure="false">Inputs!$B$18</definedName>
    <definedName function="false" hidden="false" name="LetFrac" vbProcedure="false">Inputs!$B$23</definedName>
    <definedName function="false" hidden="false" name="MgmtFee" vbProcedure="false">Inputs!$B$20</definedName>
    <definedName function="false" hidden="false" name="NetExit" vbProcedure="false">'Cash flows'!$B$11</definedName>
    <definedName function="false" hidden="false" name="NonRec" vbProcedure="false">Inputs!$B$19</definedName>
    <definedName function="false" hidden="false" name="PassRent" vbProcedure="false">'Rent roll'!$C$18</definedName>
    <definedName function="false" hidden="false" name="Pref" vbProcedure="false">Inputs!$B$41</definedName>
    <definedName function="false" hidden="false" name="Price" vbProcedure="false">Inputs!$B$8</definedName>
    <definedName function="false" hidden="false" name="Promote" vbProcedure="false">Inputs!$B$42</definedName>
    <definedName function="false" hidden="false" name="PropFlows" vbProcedure="false">'Cash flows'!$B$24:$L$24</definedName>
    <definedName function="false" hidden="false" name="SaleCost" vbProcedure="false">Inputs!$B$22</definedName>
    <definedName function="false" hidden="false" name="StabNOI" vbProcedure="false">'Rent roll'!$C$25</definedName>
    <definedName function="false" hidden="false" name="TotCost" vbProcedure="false">Inputs!$B$10</definedName>
    <definedName function="false" hidden="false" name="VoidMth" vbProcedure="false">Inputs!$B$17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<sst xmlns="http://schemas.openxmlformats.org/spreadsheetml/2006/main" count="667" uniqueCount="300">
  <si>
    <t xml:space="preserve">Commercial Real Estate Investing - The Waterfall</t>
  </si>
  <si>
    <t xml:space="preserve">Companion workbook 4, by Julian R. Sterling</t>
  </si>
  <si>
    <t xml:space="preserve">What this workbook does</t>
  </si>
  <si>
    <t xml:space="preserve">It walks the waterfall year by year: the preferred return accruing on unreturned capital and on unpaid arrears, the capital returned, the full catch-up, the promote and the split. Every line is a formula down the years, and the investor's return at the foot of it is the IRR worksheet function over what the investor actually received.</t>
  </si>
  <si>
    <t xml:space="preserve">The switch, and the experiment it exists for</t>
  </si>
  <si>
    <t xml:space="preserve">The yellow switch at the top of the Waterfall sheet decides whether a call of capital made after completion enters the capital account. Set it to 1, which is right: the 1,108,947 called at the end of year one earns the preferred return like every other pound and is returned as capital. Set it to 0 and that money earns nothing and is never returned, which is the convention behind most published promote figures. Watch the promote move. Set it back to 1 before reading the Checks sheet.</t>
  </si>
  <si>
    <t xml:space="preserve">The same question at two gearings</t>
  </si>
  <si>
    <t xml:space="preserve">The Convention sheet runs four complete waterfalls: both conventions at the gearing actually used and at 35 per cent. At 35 per cent the gross equity return is 7.7299 per cent, below the eight per cent hurdle, so the right answer is no promote at all - and the defective convention still produces 839,915 of performance fee. The error is invisible where you can afford it and decisive where you cannot.</t>
  </si>
  <si>
    <t xml:space="preserve">What the catch-up does</t>
  </si>
  <si>
    <t xml:space="preserve">Under the deal as written the investor receives 29,341,958 against 14,943,867 called, of which 14,398,091 is the preferred return itself. The investor keeps nothing above the hurdle, and the manager collects 2,114,640 of fees and 1,748,716 of promote. The block at the foot of the Waterfall sheet prices the same pool under a hard hurdle with no catch-up, which is the negotiation that decides the answer.</t>
  </si>
  <si>
    <t xml:space="preserve">On the checks</t>
  </si>
  <si>
    <t xml:space="preserve">The Checks sheet reproduces by formula each figure printed in the book. Column C is typed from the page; column D is computed here. If a check says FAIL, the workbook is wrong, not the book.</t>
  </si>
  <si>
    <t xml:space="preserve">Inputs, and what is derived from them</t>
  </si>
  <si>
    <t xml:space="preserve">Blue figures on a yellow ground are inputs. Everything else, on every sheet, is a live formula.</t>
  </si>
  <si>
    <t xml:space="preserve">The asset and the purchase</t>
  </si>
  <si>
    <t xml:space="preserve">Lettable area, square metres</t>
  </si>
  <si>
    <t xml:space="preserve">Purchase price</t>
  </si>
  <si>
    <t xml:space="preserve">Acquisition costs, share of the price</t>
  </si>
  <si>
    <t xml:space="preserve">Total cost = price x (1 + acquisition costs)</t>
  </si>
  <si>
    <t xml:space="preserve">the price of revenue, not the headline price</t>
  </si>
  <si>
    <t xml:space="preserve">Capital programme, the three years below</t>
  </si>
  <si>
    <t xml:space="preserve">All-in capital = total cost + capital programme</t>
  </si>
  <si>
    <t xml:space="preserve">the capital an exit yield has to be compared against</t>
  </si>
  <si>
    <t xml:space="preserve">The seven market assumptions, and there are no others</t>
  </si>
  <si>
    <t xml:space="preserve">Rental value growth, a year</t>
  </si>
  <si>
    <t xml:space="preserve">Void between two leases, months</t>
  </si>
  <si>
    <t xml:space="preserve">applied without exception, including the two units empty at acquisition</t>
  </si>
  <si>
    <t xml:space="preserve">Letting fee, share of the new annual rent</t>
  </si>
  <si>
    <t xml:space="preserve">charged in the year the letting completes</t>
  </si>
  <si>
    <t xml:space="preserve">Non-recoverable costs, share of passing rent</t>
  </si>
  <si>
    <t xml:space="preserve">Management fee, share of passing rent</t>
  </si>
  <si>
    <t xml:space="preserve">Exit yield, central case</t>
  </si>
  <si>
    <t xml:space="preserve">Cost of sale, share of the gross price</t>
  </si>
  <si>
    <t xml:space="preserve">Share of a year collected after a void = (12 - void) / 12</t>
  </si>
  <si>
    <t xml:space="preserve">three twelfths: the year after an expiry collects a quarter of the new rent</t>
  </si>
  <si>
    <t xml:space="preserve">The debt</t>
  </si>
  <si>
    <t xml:space="preserve">Loan to value, on the PRICE and not on the cost</t>
  </si>
  <si>
    <t xml:space="preserve">Debt = price x loan to value</t>
  </si>
  <si>
    <t xml:space="preserve">Fixed rate, interest only, repaid at exit</t>
  </si>
  <si>
    <t xml:space="preserve">Interest each year = debt x rate</t>
  </si>
  <si>
    <t xml:space="preserve">Arrangement fee, share of the debt</t>
  </si>
  <si>
    <t xml:space="preserve">Arrangement fee = debt x share</t>
  </si>
  <si>
    <t xml:space="preserve">Equity at completion = total cost + arrangement fee - debt</t>
  </si>
  <si>
    <t xml:space="preserve">The manager</t>
  </si>
  <si>
    <t xml:space="preserve">Asset management fee, share of total cost, a year</t>
  </si>
  <si>
    <t xml:space="preserve">Asset management fee each year = total cost x share</t>
  </si>
  <si>
    <t xml:space="preserve">Hold period, years</t>
  </si>
  <si>
    <t xml:space="preserve">Asset management fees over the hold</t>
  </si>
  <si>
    <t xml:space="preserve">Preferred return, on unreturned capital</t>
  </si>
  <si>
    <t xml:space="preserve">Promote, above the preferred return</t>
  </si>
  <si>
    <t xml:space="preserve">Catch-up multiple = promote / (1 - promote)</t>
  </si>
  <si>
    <t xml:space="preserve">the manager's share of the preferred return once the catch-up is complete</t>
  </si>
  <si>
    <t xml:space="preserve">Second gearing, for the convention test</t>
  </si>
  <si>
    <t xml:space="preserve">the 35 per cent case of chapter 13</t>
  </si>
  <si>
    <t xml:space="preserve">The capital programme</t>
  </si>
  <si>
    <t xml:space="preserve">Year</t>
  </si>
  <si>
    <t xml:space="preserve">What it pays for</t>
  </si>
  <si>
    <t xml:space="preserve">Phase 1</t>
  </si>
  <si>
    <t xml:space="preserve">Refurbishment of Units 9 and 12</t>
  </si>
  <si>
    <t xml:space="preserve">Phase 2</t>
  </si>
  <si>
    <t xml:space="preserve">Estate roof and service yard</t>
  </si>
  <si>
    <t xml:space="preserve">Phase 3</t>
  </si>
  <si>
    <t xml:space="preserve">Second phase of the refurbishment</t>
  </si>
  <si>
    <t xml:space="preserve">Total</t>
  </si>
  <si>
    <t xml:space="preserve">The rent roll at acquisition</t>
  </si>
  <si>
    <t xml:space="preserve">Ten units. The re-let rent is derived from the rule, not typed.</t>
  </si>
  <si>
    <t xml:space="preserve">A lease expiring at the end of year e is re-let at the greater of the passing rent and the unit's rental value indexed to year e. A unit empty at acquisition is let in year one at its rental value indexed one year. Change an expiry year or a rental value and every line on every sheet moves.</t>
  </si>
  <si>
    <t xml:space="preserve">Unit</t>
  </si>
  <si>
    <t xml:space="preserve">Area (m2)</t>
  </si>
  <si>
    <t xml:space="preserve">Passing rent</t>
  </si>
  <si>
    <t xml:space="preserve">Rental value</t>
  </si>
  <si>
    <t xml:space="preserve">Lease expires end of year</t>
  </si>
  <si>
    <t xml:space="preserve">Re-let in year</t>
  </si>
  <si>
    <t xml:space="preserve">Re-let rent</t>
  </si>
  <si>
    <t xml:space="preserve">Letting fee</t>
  </si>
  <si>
    <t xml:space="preserve">Ardgour Logistics</t>
  </si>
  <si>
    <t xml:space="preserve">Kilmory Print</t>
  </si>
  <si>
    <t xml:space="preserve">Tannoch Foods</t>
  </si>
  <si>
    <t xml:space="preserve">Struan Instruments</t>
  </si>
  <si>
    <t xml:space="preserve">Balvaig Textiles</t>
  </si>
  <si>
    <t xml:space="preserve">Corrour Systems</t>
  </si>
  <si>
    <t xml:space="preserve">Dunardry Media</t>
  </si>
  <si>
    <t xml:space="preserve">Eilanreach Labs</t>
  </si>
  <si>
    <t xml:space="preserve">Unit 9 (empty at acquisition)</t>
  </si>
  <si>
    <t xml:space="preserve">Unit 12 (empty at acquisition)</t>
  </si>
  <si>
    <t xml:space="preserve">TOTAL</t>
  </si>
  <si>
    <t xml:space="preserve">What the roll says before a single formula is run</t>
  </si>
  <si>
    <t xml:space="preserve">Vacant area, share of the estate</t>
  </si>
  <si>
    <t xml:space="preserve">two units, 2,920 square metres</t>
  </si>
  <si>
    <t xml:space="preserve">Vacant rental value, share of the estate</t>
  </si>
  <si>
    <t xml:space="preserve">Reversion, rental value over passing rent</t>
  </si>
  <si>
    <t xml:space="preserve">Stabilised net income = rental value net of costs and management</t>
  </si>
  <si>
    <t xml:space="preserve">the only income an exit yield can be compared with</t>
  </si>
  <si>
    <t xml:space="preserve">The income account, eleven years</t>
  </si>
  <si>
    <t xml:space="preserve">Built from the rent roll and the void convention. Nothing on this sheet is typed.</t>
  </si>
  <si>
    <t xml:space="preserve">A lease expiring at the end of year e pays its old rent to year e, three twelfths of the new rent in year e+1, and the whole of the new rent after that. Year eleven is here because the sale is priced on it.</t>
  </si>
  <si>
    <t xml:space="preserve">What each unit pays, year by year</t>
  </si>
  <si>
    <t xml:space="preserve">Total rent</t>
  </si>
  <si>
    <t xml:space="preserve">The letting fees, unit by unit</t>
  </si>
  <si>
    <t xml:space="preserve">Total letting fees</t>
  </si>
  <si>
    <t xml:space="preserve">Letting fees over the eleven years</t>
  </si>
  <si>
    <t xml:space="preserve">The income account</t>
  </si>
  <si>
    <t xml:space="preserve">Rent received</t>
  </si>
  <si>
    <t xml:space="preserve">Non-recoverable costs</t>
  </si>
  <si>
    <t xml:space="preserve">Management</t>
  </si>
  <si>
    <t xml:space="preserve">Net operating income</t>
  </si>
  <si>
    <t xml:space="preserve">Letting fees</t>
  </si>
  <si>
    <t xml:space="preserve">Capital expenditure</t>
  </si>
  <si>
    <t xml:space="preserve">Net income from the estate</t>
  </si>
  <si>
    <t xml:space="preserve">The rent line falls in years three, four, six, eight and ten. Those are the years after an expiry, and the fall is the nine-month void, not a fall in rents.</t>
  </si>
  <si>
    <t xml:space="preserve">The sale, the flows and the returns</t>
  </si>
  <si>
    <t xml:space="preserve">The estate is sold on the net operating income of year eleven.</t>
  </si>
  <si>
    <t xml:space="preserve">The sale</t>
  </si>
  <si>
    <t xml:space="preserve">Net operating income of year eleven</t>
  </si>
  <si>
    <t xml:space="preserve">Exit yield</t>
  </si>
  <si>
    <t xml:space="preserve">Gross value on year eleven</t>
  </si>
  <si>
    <t xml:space="preserve">Cost of sale</t>
  </si>
  <si>
    <t xml:space="preserve">Net proceeds of the sale</t>
  </si>
  <si>
    <t xml:space="preserve">Net operating income of year ten</t>
  </si>
  <si>
    <t xml:space="preserve">the year of a re-letting, and therefore of a void</t>
  </si>
  <si>
    <t xml:space="preserve">Gross value if the sale were priced on year ten</t>
  </si>
  <si>
    <t xml:space="preserve">What pricing on year ten would cost</t>
  </si>
  <si>
    <t xml:space="preserve">The flows</t>
  </si>
  <si>
    <t xml:space="preserve">Acquisition, at total cost</t>
  </si>
  <si>
    <t xml:space="preserve">Asset management fee</t>
  </si>
  <si>
    <t xml:space="preserve">Property cash flow</t>
  </si>
  <si>
    <t xml:space="preserve">Arrangement fee</t>
  </si>
  <si>
    <t xml:space="preserve">Debt drawn and repaid</t>
  </si>
  <si>
    <t xml:space="preserve">Interest</t>
  </si>
  <si>
    <t xml:space="preserve">Equity cash flow</t>
  </si>
  <si>
    <t xml:space="preserve">What the flows earn</t>
  </si>
  <si>
    <t xml:space="preserve">Property return, unlevered</t>
  </si>
  <si>
    <t xml:space="preserve">the IRR worksheet function, over the property flows above</t>
  </si>
  <si>
    <t xml:space="preserve">Equity return, levered</t>
  </si>
  <si>
    <t xml:space="preserve">Equity multiple</t>
  </si>
  <si>
    <t xml:space="preserve">Equity profit</t>
  </si>
  <si>
    <t xml:space="preserve">Equity called in total, completion and later</t>
  </si>
  <si>
    <t xml:space="preserve">13,834,920 at completion and 1,108,947 at the end of year one</t>
  </si>
  <si>
    <t xml:space="preserve">The waterfall, year by year</t>
  </si>
  <si>
    <t xml:space="preserve">European, whole of fund: preferred return on unreturned capital, then capital, then a full catch-up, then eighty-twenty.</t>
  </si>
  <si>
    <t xml:space="preserve">The convention that decides the answer</t>
  </si>
  <si>
    <t xml:space="preserve">1 credits every call of capital to the capital account, which is the right convention and the one the book uses. 0 credits only the money subscribed at completion, so the 1,108,947 called at the end of year one earns no preferred return and is never returned as capital.</t>
  </si>
  <si>
    <t xml:space="preserve">Credit calls made after completion (1 or 0)</t>
  </si>
  <si>
    <t xml:space="preserve">The waterfall</t>
  </si>
  <si>
    <t xml:space="preserve">Distribution to the equity</t>
  </si>
  <si>
    <t xml:space="preserve">Unreturned capital, opening</t>
  </si>
  <si>
    <t xml:space="preserve">Accrued preferred return, opening</t>
  </si>
  <si>
    <t xml:space="preserve">Preferred return accrued in the year</t>
  </si>
  <si>
    <t xml:space="preserve">Call of capital credited to the account</t>
  </si>
  <si>
    <t xml:space="preserve">Preferred return paid</t>
  </si>
  <si>
    <t xml:space="preserve">Capital returned</t>
  </si>
  <si>
    <t xml:space="preserve">Cash above capital and preferred return</t>
  </si>
  <si>
    <t xml:space="preserve">Preferred return paid to date</t>
  </si>
  <si>
    <t xml:space="preserve">Catch-up target for the manager</t>
  </si>
  <si>
    <t xml:space="preserve">Catch-up paid</t>
  </si>
  <si>
    <t xml:space="preserve">Promote on the split</t>
  </si>
  <si>
    <t xml:space="preserve">To the manager, to date</t>
  </si>
  <si>
    <t xml:space="preserve">To the investor, in the year</t>
  </si>
  <si>
    <t xml:space="preserve">Unreturned capital, closing</t>
  </si>
  <si>
    <t xml:space="preserve">Accrued preferred return, closing</t>
  </si>
  <si>
    <t xml:space="preserve">What each party ends with</t>
  </si>
  <si>
    <t xml:space="preserve">Capital called in total</t>
  </si>
  <si>
    <t xml:space="preserve">Distributions to the equity in total</t>
  </si>
  <si>
    <t xml:space="preserve">To the manager, the promote</t>
  </si>
  <si>
    <t xml:space="preserve">To the investor, net of the call of year one</t>
  </si>
  <si>
    <t xml:space="preserve">Received by the investor</t>
  </si>
  <si>
    <t xml:space="preserve">The investor's return</t>
  </si>
  <si>
    <t xml:space="preserve">the IRR worksheet function over the line above</t>
  </si>
  <si>
    <t xml:space="preserve">The investor's profit above the preferred return</t>
  </si>
  <si>
    <t xml:space="preserve">The manager's take</t>
  </si>
  <si>
    <t xml:space="preserve">Promote</t>
  </si>
  <si>
    <t xml:space="preserve">The manager's total take</t>
  </si>
  <si>
    <t xml:space="preserve">What the investor keeps above the hurdle</t>
  </si>
  <si>
    <t xml:space="preserve">The same pool under a hard hurdle, with no catch-up</t>
  </si>
  <si>
    <t xml:space="preserve">Everything above the preferred return is split eighty-twenty from the first pound, and the manager gets no catch-up. The pool is the same; only its division changes.</t>
  </si>
  <si>
    <t xml:space="preserve">Cash above capital and the preferred return</t>
  </si>
  <si>
    <t xml:space="preserve">Promote under a hard hurdle</t>
  </si>
  <si>
    <t xml:space="preserve">To the investor under a hard hurdle</t>
  </si>
  <si>
    <t xml:space="preserve">What the full catch-up costs the investor</t>
  </si>
  <si>
    <t xml:space="preserve">Which capital earns the preferred return</t>
  </si>
  <si>
    <t xml:space="preserve">The same deal at two gearings, under both conventions. Four waterfalls, all live.</t>
  </si>
  <si>
    <t xml:space="preserve">The two gearings</t>
  </si>
  <si>
    <t xml:space="preserve">As financed</t>
  </si>
  <si>
    <t xml:space="preserve">The 35 per cent case</t>
  </si>
  <si>
    <t xml:space="preserve">Loan to value, on the price</t>
  </si>
  <si>
    <t xml:space="preserve">Debt</t>
  </si>
  <si>
    <t xml:space="preserve">Interest each year</t>
  </si>
  <si>
    <t xml:space="preserve">Equity at completion</t>
  </si>
  <si>
    <t xml:space="preserve">Interest cover in year four</t>
  </si>
  <si>
    <t xml:space="preserve">The equity flows at each gearing</t>
  </si>
  <si>
    <t xml:space="preserve">Equity return</t>
  </si>
  <si>
    <t xml:space="preserve">Equity flow of year one</t>
  </si>
  <si>
    <t xml:space="preserve">As financed, every call credited to the capital account</t>
  </si>
  <si>
    <t xml:space="preserve">As financed, only the money subscribed at completion credited</t>
  </si>
  <si>
    <t xml:space="preserve">At 35 per cent, every call credited to the capital account</t>
  </si>
  <si>
    <t xml:space="preserve">At 35 per cent, only the money subscribed at completion credited</t>
  </si>
  <si>
    <t xml:space="preserve">What each convention produces</t>
  </si>
  <si>
    <t xml:space="preserve">Convention</t>
  </si>
  <si>
    <t xml:space="preserve">At 55 per cent</t>
  </si>
  <si>
    <t xml:space="preserve">At 35 per cent</t>
  </si>
  <si>
    <t xml:space="preserve">Every call enters the capital account</t>
  </si>
  <si>
    <t xml:space="preserve">Only the closing subscription</t>
  </si>
  <si>
    <t xml:space="preserve">At 35 per cent the gross equity return is 7.7299 per cent, below the eight per cent hurdle, so the right answer is no promote at all. The defective convention still produces a performance fee on a deal that failed its performance test.</t>
  </si>
  <si>
    <t xml:space="preserve">Gearing ladder</t>
  </si>
  <si>
    <t xml:space="preserve">Chapters 11, 13 and 16. The same building at seven gearings, under both capital conventions, and the hard hurdle.</t>
  </si>
  <si>
    <t xml:space="preserve">The gearings in the yellow row are chosen and may be changed. Each gearing has its own capital account below the summary.</t>
  </si>
  <si>
    <t xml:space="preserve">Year 0</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</si>
  <si>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</si>
  <si>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</si>
  <si>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</si>
  <si>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</si>
  <si>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</si>
  <si>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</si>
  <si>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</si>
  <si>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</si>
  <si>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</si>
  <si>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</si>
  <si>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The ladder</t>
  </si>
  <si>
    <t xml:space="preserve">Loan to value</t>
  </si>
  <si>
    <t xml:space="preserve">Multiple</t>
  </si>
  <si>
    <t xml:space="preserve">Promote, every call credited</t>
  </si>
  <si>
    <t xml:space="preserve">Promote over profit</t>
  </si>
  <si>
    <t xml:space="preserve">Promote over completion equity</t>
  </si>
  <si>
    <t xml:space="preserve">Interest cover, year four</t>
  </si>
  <si>
    <t xml:space="preserve">Equity flow, year one</t>
  </si>
  <si>
    <t xml:space="preserve">Promote, closing subscription only</t>
  </si>
  <si>
    <t xml:space="preserve">Hard hurdle, as financed: promote</t>
  </si>
  <si>
    <t xml:space="preserve">Hard hurdle, as financed: residual kept by the investor</t>
  </si>
  <si>
    <t xml:space="preserve">Hard hurdle: the manager's total take</t>
  </si>
  <si>
    <t xml:space="preserve">The same, share of the profit before fees</t>
  </si>
  <si>
    <t xml:space="preserve">Promote from 55 to 65 per cent gearing</t>
  </si>
  <si>
    <t xml:space="preserve">Promote from 65 to 70 per cent gearing</t>
  </si>
  <si>
    <t xml:space="preserve">Equity profit, no debt, less equity profit at 70 per cent</t>
  </si>
  <si>
    <t xml:space="preserve">Rows 18 to 24 are exact: the book derived its equity-profit column from a multiple rounded to four places, and says so.</t>
  </si>
  <si>
    <t xml:space="preserve">Gearing in row 7, every call credited</t>
  </si>
  <si>
    <t xml:space="preserve">Gearing in row 7, only the closing subscription credited</t>
  </si>
  <si>
    <t xml:space="preserve">Gearing in row 8, every call credited</t>
  </si>
  <si>
    <t xml:space="preserve">Gearing in row 8, only the closing subscription credited</t>
  </si>
  <si>
    <t xml:space="preserve">Gearing in row 9, every call credited</t>
  </si>
  <si>
    <t xml:space="preserve">Gearing in row 9, only the closing subscription credited</t>
  </si>
  <si>
    <t xml:space="preserve">Gearing in row 10, every call credited</t>
  </si>
  <si>
    <t xml:space="preserve">Gearing in row 10, only the closing subscription credited</t>
  </si>
  <si>
    <t xml:space="preserve">Gearing in row 11, every call credited</t>
  </si>
  <si>
    <t xml:space="preserve">Gearing in row 11, only the closing subscription credited</t>
  </si>
  <si>
    <t xml:space="preserve">Gearing in row 12, every call credited</t>
  </si>
  <si>
    <t xml:space="preserve">Gearing in row 12, only the closing subscription credited</t>
  </si>
  <si>
    <t xml:space="preserve">Gearing in row 13, every call credited</t>
  </si>
  <si>
    <t xml:space="preserve">Gearing in row 13, only the closing subscription credited</t>
  </si>
  <si>
    <t xml:space="preserve">As financed (row 11), hard hurdle: no catch-up</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</si>
  <si>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</si>
  <si>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</si>
  <si>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</si>
  <si>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</si>
  <si>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</si>
  <si>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</si>
  <si>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</si>
  <si>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</si>
  <si>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</si>
  <si>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13</t>
  </si>
  <si>
    <t xml:space="preserve">Called at the end of year one</t>
  </si>
  <si>
    <t xml:space="preserve">Promote to the manager</t>
  </si>
  <si>
    <t xml:space="preserve">To the investor, net of the calls</t>
  </si>
  <si>
    <t xml:space="preserve">15</t>
  </si>
  <si>
    <t xml:space="preserve">6</t>
  </si>
  <si>
    <t xml:space="preserve">11</t>
  </si>
  <si>
    <t xml:space="preserve">Equity at completion at 35 per cent leverage</t>
  </si>
  <si>
    <t xml:space="preserve">Equity return at 35 per cent leverage</t>
  </si>
  <si>
    <t xml:space="preserve">Equity multiple at 35 per cent leverage</t>
  </si>
  <si>
    <t xml:space="preserve">Interest cover in year four, as financed</t>
  </si>
  <si>
    <t xml:space="preserve">Interest cover in year four at 35 per cent</t>
  </si>
  <si>
    <t xml:space="preserve">Equity flow of year one at 35 per cent</t>
  </si>
  <si>
    <t xml:space="preserve">Promote at 55 per cent, every call credited</t>
  </si>
  <si>
    <t xml:space="preserve">Promote at 35 per cent, every call credited, none</t>
  </si>
  <si>
    <t xml:space="preserve">Promote at 35 per cent, only the closing subscription</t>
  </si>
  <si>
    <t xml:space="preserve">Preferred return paid at 55 per cent, every call credited</t>
  </si>
  <si>
    <t xml:space="preserve">Cash above capital and the preferred return, the whole pool</t>
  </si>
  <si>
    <t xml:space="preserve">Capital returned to the investor</t>
  </si>
  <si>
    <t xml:space="preserve">Equity at completion, 70 per cent</t>
  </si>
  <si>
    <t xml:space="preserve">Equity return, no debt</t>
  </si>
  <si>
    <t xml:space="preserve">Equity return, 20 per cent</t>
  </si>
  <si>
    <t xml:space="preserve">Equity return, 45 per cent</t>
  </si>
  <si>
    <t xml:space="preserve">Equity return, 65 per cent</t>
  </si>
  <si>
    <t xml:space="preserve">Equity return, 70 per cent</t>
  </si>
  <si>
    <t xml:space="preserve">Multiple, 70 per cent</t>
  </si>
  <si>
    <t xml:space="preserve">Promote, 45 per cent</t>
  </si>
  <si>
    <t xml:space="preserve">Promote, 55 per cent</t>
  </si>
  <si>
    <t xml:space="preserve">Promote, 65 per cent, the peak</t>
  </si>
  <si>
    <t xml:space="preserve">Promote, 70 per cent</t>
  </si>
  <si>
    <t xml:space="preserve">Promote over profit, 70 per cent: the catch-up is complete (the book derives 19.9998)</t>
  </si>
  <si>
    <t xml:space="preserve">Interest cover, year four, 20 per cent</t>
  </si>
  <si>
    <t xml:space="preserve">Interest cover, year four, 70 per cent</t>
  </si>
  <si>
    <t xml:space="preserve">Equity flow of year one, 70 per cent</t>
  </si>
  <si>
    <t xml:space="preserve">16</t>
  </si>
  <si>
    <t xml:space="preserve">Promote over completion equity, 65 per cent</t>
  </si>
  <si>
    <t xml:space="preserve">Promote at 55 per cent, only the closing subscription credited</t>
  </si>
  <si>
    <t xml:space="preserve">Promote at 35 per cent, only the closing subscription credited</t>
  </si>
  <si>
    <t xml:space="preserve">Equity profit, no debt, less equity profit at 70 per cent (derived in the book: 8,243,024)</t>
  </si>
  <si>
    <t xml:space="preserve">Checks that pass</t>
  </si>
  <si>
    <t xml:space="preserve">Checks that fail</t>
  </si>
  <si>
    <t xml:space="preserve">All checks</t>
  </si>
</sst>
</file>

<file path=xl/styles.xml><?xml version="1.0" encoding="utf-8"?>
<styleSheet xmlns="http://schemas.openxmlformats.org/spreadsheetml/2006/main">
  <numFmts count="14">
    <numFmt numFmtId="164" formatCode="General"/>
    <numFmt numFmtId="165" formatCode="#,##0"/>
    <numFmt numFmtId="166" formatCode="#,##0;\-#,##0"/>
    <numFmt numFmtId="167" formatCode="0.00%;\-0.00%"/>
    <numFmt numFmtId="168" formatCode="0"/>
    <numFmt numFmtId="169" formatCode="0.0%;\-0.0%"/>
    <numFmt numFmtId="170" formatCode="0.0000"/>
    <numFmt numFmtId="171" formatCode="#,##0.00;\-#,##0.00"/>
    <numFmt numFmtId="172" formatCode="0.0000%;\-0.0000%"/>
    <numFmt numFmtId="173" formatCode="0.00\x"/>
    <numFmt numFmtId="174" formatCode="0.00"/>
    <numFmt numFmtId="175" formatCode="0%"/>
    <numFmt numFmtId="176" formatCode="0.00000000"/>
    <numFmt numFmtId="177" formatCode="@"/>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1"/>
      <color rgb="FF1A1A1A"/>
      <name val="Calibri"/>
      <family val="0"/>
      <charset val="1"/>
    </font>
    <font>
      <b val="true"/>
      <sz val="10"/>
      <color rgb="FFFFFFFF"/>
      <name val="Calibri"/>
      <family val="0"/>
      <charset val="1"/>
    </font>
    <font>
      <i val="true"/>
      <sz val="9"/>
      <color rgb="FF5A6A70"/>
      <name val="Calibri"/>
      <family val="0"/>
      <charset val="1"/>
    </font>
    <font>
      <sz val="10"/>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4" fontId="9" fillId="0" borderId="2" xfId="0" applyFont="true" applyBorder="true" applyAlignment="false" applyProtection="false">
      <alignment horizontal="general" vertical="bottom" textRotation="0" wrapText="false" indent="0" shrinkToFit="false"/>
      <protection locked="true" hidden="false"/>
    </xf>
    <xf numFmtId="164" fontId="10" fillId="3" borderId="2" xfId="0" applyFont="true" applyBorder="true" applyAlignment="true" applyProtection="false">
      <alignment horizontal="right"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72" fontId="9" fillId="0" borderId="0" xfId="0" applyFont="true" applyBorder="false" applyAlignment="false" applyProtection="false">
      <alignment horizontal="general" vertical="bottom" textRotation="0" wrapText="false" indent="0" shrinkToFit="false"/>
      <protection locked="true" hidden="false"/>
    </xf>
    <xf numFmtId="173" fontId="9"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9" fillId="0" borderId="0" xfId="0" applyFont="true" applyBorder="false" applyAlignment="true" applyProtection="false">
      <alignment horizontal="general" vertical="bottom" textRotation="0" wrapText="false" indent="1"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left" vertical="center" textRotation="0" wrapText="true" indent="0" shrinkToFit="false"/>
      <protection locked="true" hidden="false"/>
    </xf>
    <xf numFmtId="164" fontId="10" fillId="3" borderId="0" xfId="0" applyFont="true" applyBorder="false" applyAlignment="true" applyProtection="false">
      <alignment horizontal="right" vertical="center" textRotation="0" wrapText="true" indent="0" shrinkToFit="false"/>
      <protection locked="true" hidden="false"/>
    </xf>
    <xf numFmtId="175" fontId="8" fillId="2"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7" fontId="9"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7" fontId="9" fillId="4"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72" fontId="7"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75"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60"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3"/>
    <col collapsed="false" customWidth="true" hidden="false" outlineLevel="0" max="4" min="4" style="0" width="62"/>
  </cols>
  <sheetData>
    <row r="1" customFormat="false" ht="24" hidden="false" customHeight="true" outlineLevel="0" collapsed="false">
      <c r="A1" s="1" t="s">
        <v>12</v>
      </c>
    </row>
    <row r="2" customFormat="false" ht="15" hidden="false" customHeight="false" outlineLevel="0" collapsed="false">
      <c r="A2" s="2" t="s">
        <v>13</v>
      </c>
    </row>
    <row r="3" customFormat="false" ht="15" hidden="false" customHeight="false" outlineLevel="0" collapsed="false">
      <c r="A3" s="3"/>
      <c r="B3" s="3"/>
      <c r="C3" s="3"/>
      <c r="D3" s="3"/>
    </row>
    <row r="5" customFormat="false" ht="15" hidden="false" customHeight="false" outlineLevel="0" collapsed="false">
      <c r="A5" s="4" t="s">
        <v>14</v>
      </c>
      <c r="B5" s="6"/>
      <c r="C5" s="6"/>
      <c r="D5" s="6"/>
    </row>
    <row r="7" customFormat="false" ht="15" hidden="false" customHeight="false" outlineLevel="0" collapsed="false">
      <c r="A7" s="7" t="s">
        <v>15</v>
      </c>
      <c r="B7" s="8" t="n">
        <v>14200</v>
      </c>
    </row>
    <row r="8" customFormat="false" ht="15" hidden="false" customHeight="false" outlineLevel="0" collapsed="false">
      <c r="A8" s="7" t="s">
        <v>16</v>
      </c>
      <c r="B8" s="9" t="n">
        <v>26400000</v>
      </c>
    </row>
    <row r="9" customFormat="false" ht="15" hidden="false" customHeight="false" outlineLevel="0" collapsed="false">
      <c r="A9" s="7" t="s">
        <v>17</v>
      </c>
      <c r="B9" s="10" t="n">
        <v>0.068</v>
      </c>
    </row>
    <row r="10" customFormat="false" ht="15" hidden="false" customHeight="false" outlineLevel="0" collapsed="false">
      <c r="A10" s="11" t="s">
        <v>18</v>
      </c>
      <c r="B10" s="12" t="n">
        <f aca="false">Price*(1+AcqPct)</f>
        <v>28195200</v>
      </c>
      <c r="D10" s="7" t="s">
        <v>19</v>
      </c>
    </row>
    <row r="11" customFormat="false" ht="15" hidden="false" customHeight="false" outlineLevel="0" collapsed="false">
      <c r="A11" s="11" t="s">
        <v>20</v>
      </c>
      <c r="B11" s="12" t="n">
        <f aca="false">SUM(CapexAmt)</f>
        <v>3400000</v>
      </c>
    </row>
    <row r="12" customFormat="false" ht="15" hidden="false" customHeight="false" outlineLevel="0" collapsed="false">
      <c r="A12" s="11" t="s">
        <v>21</v>
      </c>
      <c r="B12" s="12" t="n">
        <f aca="false">TotCost+CapexTot</f>
        <v>31595200</v>
      </c>
      <c r="D12" s="7" t="s">
        <v>22</v>
      </c>
    </row>
    <row r="14" customFormat="false" ht="15" hidden="false" customHeight="false" outlineLevel="0" collapsed="false">
      <c r="A14" s="4" t="s">
        <v>23</v>
      </c>
      <c r="B14" s="6"/>
      <c r="C14" s="6"/>
      <c r="D14" s="6"/>
    </row>
    <row r="16" customFormat="false" ht="15" hidden="false" customHeight="false" outlineLevel="0" collapsed="false">
      <c r="A16" s="7" t="s">
        <v>24</v>
      </c>
      <c r="B16" s="10" t="n">
        <v>0.0225</v>
      </c>
    </row>
    <row r="17" customFormat="false" ht="15" hidden="false" customHeight="false" outlineLevel="0" collapsed="false">
      <c r="A17" s="7" t="s">
        <v>25</v>
      </c>
      <c r="B17" s="13" t="n">
        <v>9</v>
      </c>
      <c r="D17" s="7" t="s">
        <v>26</v>
      </c>
    </row>
    <row r="18" customFormat="false" ht="15" hidden="false" customHeight="false" outlineLevel="0" collapsed="false">
      <c r="A18" s="7" t="s">
        <v>27</v>
      </c>
      <c r="B18" s="14" t="n">
        <v>0.15</v>
      </c>
      <c r="D18" s="7" t="s">
        <v>28</v>
      </c>
    </row>
    <row r="19" customFormat="false" ht="15" hidden="false" customHeight="false" outlineLevel="0" collapsed="false">
      <c r="A19" s="7" t="s">
        <v>29</v>
      </c>
      <c r="B19" s="10" t="n">
        <v>0.0165</v>
      </c>
    </row>
    <row r="20" customFormat="false" ht="15" hidden="false" customHeight="false" outlineLevel="0" collapsed="false">
      <c r="A20" s="7" t="s">
        <v>30</v>
      </c>
      <c r="B20" s="10" t="n">
        <v>0.0075</v>
      </c>
    </row>
    <row r="21" customFormat="false" ht="15" hidden="false" customHeight="false" outlineLevel="0" collapsed="false">
      <c r="A21" s="7" t="s">
        <v>31</v>
      </c>
      <c r="B21" s="10" t="n">
        <v>0.0665</v>
      </c>
    </row>
    <row r="22" customFormat="false" ht="15" hidden="false" customHeight="false" outlineLevel="0" collapsed="false">
      <c r="A22" s="7" t="s">
        <v>32</v>
      </c>
      <c r="B22" s="10" t="n">
        <v>0.0125</v>
      </c>
    </row>
    <row r="23" customFormat="false" ht="15" hidden="false" customHeight="false" outlineLevel="0" collapsed="false">
      <c r="A23" s="11" t="s">
        <v>33</v>
      </c>
      <c r="B23" s="15" t="n">
        <f aca="false">(12-VoidMth)/12</f>
        <v>0.25</v>
      </c>
      <c r="D23" s="7" t="s">
        <v>34</v>
      </c>
    </row>
    <row r="25" customFormat="false" ht="15" hidden="false" customHeight="false" outlineLevel="0" collapsed="false">
      <c r="A25" s="4" t="s">
        <v>35</v>
      </c>
      <c r="B25" s="6"/>
      <c r="C25" s="6"/>
      <c r="D25" s="6"/>
    </row>
    <row r="27" customFormat="false" ht="15" hidden="false" customHeight="false" outlineLevel="0" collapsed="false">
      <c r="A27" s="7" t="s">
        <v>36</v>
      </c>
      <c r="B27" s="14" t="n">
        <v>0.55</v>
      </c>
    </row>
    <row r="28" customFormat="false" ht="15" hidden="false" customHeight="false" outlineLevel="0" collapsed="false">
      <c r="A28" s="11" t="s">
        <v>37</v>
      </c>
      <c r="B28" s="12" t="n">
        <f aca="false">Price*Gearing</f>
        <v>14520000</v>
      </c>
    </row>
    <row r="29" customFormat="false" ht="15" hidden="false" customHeight="false" outlineLevel="0" collapsed="false">
      <c r="A29" s="7" t="s">
        <v>38</v>
      </c>
      <c r="B29" s="10" t="n">
        <v>0.0435</v>
      </c>
    </row>
    <row r="30" customFormat="false" ht="15" hidden="false" customHeight="false" outlineLevel="0" collapsed="false">
      <c r="A30" s="11" t="s">
        <v>39</v>
      </c>
      <c r="B30" s="12" t="n">
        <f aca="false">Debt*DebtRate</f>
        <v>631620</v>
      </c>
    </row>
    <row r="31" customFormat="false" ht="15" hidden="false" customHeight="false" outlineLevel="0" collapsed="false">
      <c r="A31" s="7" t="s">
        <v>40</v>
      </c>
      <c r="B31" s="10" t="n">
        <v>0.011</v>
      </c>
    </row>
    <row r="32" customFormat="false" ht="15" hidden="false" customHeight="false" outlineLevel="0" collapsed="false">
      <c r="A32" s="11" t="s">
        <v>41</v>
      </c>
      <c r="B32" s="12" t="n">
        <f aca="false">Debt*ArrPct</f>
        <v>159720</v>
      </c>
    </row>
    <row r="33" customFormat="false" ht="15" hidden="false" customHeight="false" outlineLevel="0" collapsed="false">
      <c r="A33" s="11" t="s">
        <v>42</v>
      </c>
      <c r="B33" s="12" t="n">
        <f aca="false">TotCost+ArrFee-Debt</f>
        <v>13834920</v>
      </c>
    </row>
    <row r="35" customFormat="false" ht="15" hidden="false" customHeight="false" outlineLevel="0" collapsed="false">
      <c r="A35" s="4" t="s">
        <v>43</v>
      </c>
      <c r="B35" s="6"/>
      <c r="C35" s="6"/>
      <c r="D35" s="6"/>
    </row>
    <row r="37" customFormat="false" ht="15" hidden="false" customHeight="false" outlineLevel="0" collapsed="false">
      <c r="A37" s="7" t="s">
        <v>44</v>
      </c>
      <c r="B37" s="10" t="n">
        <v>0.0075</v>
      </c>
    </row>
    <row r="38" customFormat="false" ht="15" hidden="false" customHeight="false" outlineLevel="0" collapsed="false">
      <c r="A38" s="11" t="s">
        <v>45</v>
      </c>
      <c r="B38" s="12" t="n">
        <f aca="false">TotCost*AMPct</f>
        <v>211464</v>
      </c>
    </row>
    <row r="39" customFormat="false" ht="15" hidden="false" customHeight="false" outlineLevel="0" collapsed="false">
      <c r="A39" s="7" t="s">
        <v>46</v>
      </c>
      <c r="B39" s="13" t="n">
        <v>10</v>
      </c>
    </row>
    <row r="40" customFormat="false" ht="15" hidden="false" customHeight="false" outlineLevel="0" collapsed="false">
      <c r="A40" s="11" t="s">
        <v>47</v>
      </c>
      <c r="B40" s="12" t="n">
        <f aca="false">AMFee*Hold</f>
        <v>2114640</v>
      </c>
    </row>
    <row r="41" customFormat="false" ht="15" hidden="false" customHeight="false" outlineLevel="0" collapsed="false">
      <c r="A41" s="7" t="s">
        <v>48</v>
      </c>
      <c r="B41" s="14" t="n">
        <v>0.08</v>
      </c>
    </row>
    <row r="42" customFormat="false" ht="15" hidden="false" customHeight="false" outlineLevel="0" collapsed="false">
      <c r="A42" s="7" t="s">
        <v>49</v>
      </c>
      <c r="B42" s="14" t="n">
        <v>0.2</v>
      </c>
    </row>
    <row r="43" customFormat="false" ht="15" hidden="false" customHeight="false" outlineLevel="0" collapsed="false">
      <c r="A43" s="11" t="s">
        <v>50</v>
      </c>
      <c r="B43" s="15" t="n">
        <f aca="false">Promote/(1-Promote)</f>
        <v>0.25</v>
      </c>
      <c r="D43" s="7" t="s">
        <v>51</v>
      </c>
    </row>
    <row r="44" customFormat="false" ht="15" hidden="false" customHeight="false" outlineLevel="0" collapsed="false">
      <c r="A44" s="7" t="s">
        <v>52</v>
      </c>
      <c r="B44" s="14" t="n">
        <v>0.35</v>
      </c>
      <c r="D44" s="7" t="s">
        <v>53</v>
      </c>
    </row>
    <row r="46" customFormat="false" ht="15" hidden="false" customHeight="false" outlineLevel="0" collapsed="false">
      <c r="A46" s="4" t="s">
        <v>54</v>
      </c>
      <c r="B46" s="6"/>
      <c r="C46" s="6"/>
      <c r="D46" s="6"/>
    </row>
    <row r="48" customFormat="false" ht="30" hidden="false" customHeight="true" outlineLevel="0" collapsed="false">
      <c r="A48" s="16" t="s">
        <v>54</v>
      </c>
      <c r="B48" s="17" t="s">
        <v>55</v>
      </c>
      <c r="C48" s="17"/>
      <c r="D48" s="17" t="s">
        <v>56</v>
      </c>
    </row>
    <row r="49" customFormat="false" ht="15" hidden="false" customHeight="false" outlineLevel="0" collapsed="false">
      <c r="A49" s="7" t="s">
        <v>57</v>
      </c>
      <c r="B49" s="13" t="n">
        <v>1</v>
      </c>
      <c r="C49" s="9" t="n">
        <v>1850000</v>
      </c>
      <c r="D49" s="7" t="s">
        <v>58</v>
      </c>
    </row>
    <row r="50" customFormat="false" ht="15" hidden="false" customHeight="false" outlineLevel="0" collapsed="false">
      <c r="A50" s="7" t="s">
        <v>59</v>
      </c>
      <c r="B50" s="13" t="n">
        <v>2</v>
      </c>
      <c r="C50" s="9" t="n">
        <v>940000</v>
      </c>
      <c r="D50" s="7" t="s">
        <v>60</v>
      </c>
    </row>
    <row r="51" customFormat="false" ht="15" hidden="false" customHeight="false" outlineLevel="0" collapsed="false">
      <c r="A51" s="7" t="s">
        <v>61</v>
      </c>
      <c r="B51" s="13" t="n">
        <v>3</v>
      </c>
      <c r="C51" s="9" t="n">
        <v>610000</v>
      </c>
      <c r="D51" s="7" t="s">
        <v>62</v>
      </c>
    </row>
    <row r="52" customFormat="false" ht="15" hidden="false" customHeight="false" outlineLevel="0" collapsed="false">
      <c r="A52" s="11" t="s">
        <v>63</v>
      </c>
      <c r="C52" s="12" t="n">
        <f aca="false">SUM(C49:C51)</f>
        <v>3400000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2" min="2" style="0" width="12"/>
    <col collapsed="false" customWidth="true" hidden="false" outlineLevel="0" max="4" min="3" style="0" width="15"/>
    <col collapsed="false" customWidth="true" hidden="false" outlineLevel="0" max="5" min="5" style="0" width="13"/>
    <col collapsed="false" customWidth="true" hidden="false" outlineLevel="0" max="6" min="6" style="0" width="12"/>
    <col collapsed="false" customWidth="true" hidden="false" outlineLevel="0" max="7" min="7" style="0" width="16"/>
    <col collapsed="false" customWidth="true" hidden="false" outlineLevel="0" max="8" min="8" style="0" width="13"/>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c r="D3" s="3"/>
      <c r="E3" s="3"/>
      <c r="F3" s="3"/>
      <c r="G3" s="3"/>
      <c r="H3" s="3"/>
    </row>
    <row r="5" customFormat="false" ht="15" hidden="false" customHeight="false" outlineLevel="0" collapsed="false">
      <c r="A5" s="18" t="s">
        <v>66</v>
      </c>
    </row>
    <row r="7" customFormat="false" ht="30" hidden="false" customHeight="true" outlineLevel="0" collapsed="false">
      <c r="A7" s="16" t="s">
        <v>67</v>
      </c>
      <c r="B7" s="17" t="s">
        <v>68</v>
      </c>
      <c r="C7" s="17" t="s">
        <v>69</v>
      </c>
      <c r="D7" s="17" t="s">
        <v>70</v>
      </c>
      <c r="E7" s="17" t="s">
        <v>71</v>
      </c>
      <c r="F7" s="17" t="s">
        <v>72</v>
      </c>
      <c r="G7" s="17" t="s">
        <v>73</v>
      </c>
      <c r="H7" s="17" t="s">
        <v>74</v>
      </c>
    </row>
    <row r="8" customFormat="false" ht="15" hidden="false" customHeight="false" outlineLevel="0" collapsed="false">
      <c r="A8" s="7" t="s">
        <v>75</v>
      </c>
      <c r="B8" s="8" t="n">
        <v>3150</v>
      </c>
      <c r="C8" s="9" t="n">
        <v>472500</v>
      </c>
      <c r="D8" s="9" t="n">
        <v>504000</v>
      </c>
      <c r="E8" s="13" t="n">
        <v>7</v>
      </c>
      <c r="F8" s="19" t="n">
        <f aca="false">IF($E8=0,1,$E8+1)</f>
        <v>8</v>
      </c>
      <c r="G8" s="20" t="n">
        <f aca="false">IF($E8=0,$D8*(1+Growth),MAX($C8,$D8*(1+Growth)^$E8))</f>
        <v>588943.663055956</v>
      </c>
      <c r="H8" s="21" t="n">
        <f aca="false">$G8*LetFee</f>
        <v>88341.5494583934</v>
      </c>
    </row>
    <row r="9" customFormat="false" ht="15" hidden="false" customHeight="false" outlineLevel="0" collapsed="false">
      <c r="A9" s="7" t="s">
        <v>76</v>
      </c>
      <c r="B9" s="8" t="n">
        <v>1980</v>
      </c>
      <c r="C9" s="9" t="n">
        <v>257400</v>
      </c>
      <c r="D9" s="9" t="n">
        <v>316800</v>
      </c>
      <c r="E9" s="13" t="n">
        <v>3</v>
      </c>
      <c r="F9" s="19" t="n">
        <f aca="false">IF($E9=0,1,$E9+1)</f>
        <v>4</v>
      </c>
      <c r="G9" s="20" t="n">
        <f aca="false">IF($E9=0,$D9*(1+Growth),MAX($C9,$D9*(1+Growth)^$E9))</f>
        <v>338668.74855</v>
      </c>
      <c r="H9" s="21" t="n">
        <f aca="false">$G9*LetFee</f>
        <v>50800.3122825</v>
      </c>
    </row>
    <row r="10" customFormat="false" ht="15" hidden="false" customHeight="false" outlineLevel="0" collapsed="false">
      <c r="A10" s="7" t="s">
        <v>77</v>
      </c>
      <c r="B10" s="8" t="n">
        <v>1640</v>
      </c>
      <c r="C10" s="9" t="n">
        <v>229600</v>
      </c>
      <c r="D10" s="9" t="n">
        <v>262400</v>
      </c>
      <c r="E10" s="13" t="n">
        <v>9</v>
      </c>
      <c r="F10" s="19" t="n">
        <f aca="false">IF($E10=0,1,$E10+1)</f>
        <v>10</v>
      </c>
      <c r="G10" s="20" t="n">
        <f aca="false">IF($E10=0,$D10*(1+Growth),MAX($C10,$D10*(1+Growth)^$E10))</f>
        <v>320577.974673508</v>
      </c>
      <c r="H10" s="21" t="n">
        <f aca="false">$G10*LetFee</f>
        <v>48086.6962010262</v>
      </c>
    </row>
    <row r="11" customFormat="false" ht="15" hidden="false" customHeight="false" outlineLevel="0" collapsed="false">
      <c r="A11" s="7" t="s">
        <v>78</v>
      </c>
      <c r="B11" s="8" t="n">
        <v>1310</v>
      </c>
      <c r="C11" s="9" t="n">
        <v>183400</v>
      </c>
      <c r="D11" s="9" t="n">
        <v>209600</v>
      </c>
      <c r="E11" s="13" t="n">
        <v>5</v>
      </c>
      <c r="F11" s="19" t="n">
        <f aca="false">IF($E11=0,1,$E11+1)</f>
        <v>6</v>
      </c>
      <c r="G11" s="20" t="n">
        <f aca="false">IF($E11=0,$D11*(1+Growth),MAX($C11,$D11*(1+Growth)^$E11))</f>
        <v>234265.244549597</v>
      </c>
      <c r="H11" s="21" t="n">
        <f aca="false">$G11*LetFee</f>
        <v>35139.7866824395</v>
      </c>
    </row>
    <row r="12" customFormat="false" ht="15" hidden="false" customHeight="false" outlineLevel="0" collapsed="false">
      <c r="A12" s="7" t="s">
        <v>79</v>
      </c>
      <c r="B12" s="8" t="n">
        <v>980</v>
      </c>
      <c r="C12" s="9" t="n">
        <v>117600</v>
      </c>
      <c r="D12" s="9" t="n">
        <v>156800</v>
      </c>
      <c r="E12" s="13" t="n">
        <v>2</v>
      </c>
      <c r="F12" s="19" t="n">
        <f aca="false">IF($E12=0,1,$E12+1)</f>
        <v>3</v>
      </c>
      <c r="G12" s="20" t="n">
        <f aca="false">IF($E12=0,$D12*(1+Growth),MAX($C12,$D12*(1+Growth)^$E12))</f>
        <v>163935.38</v>
      </c>
      <c r="H12" s="21" t="n">
        <f aca="false">$G12*LetFee</f>
        <v>24590.307</v>
      </c>
    </row>
    <row r="13" customFormat="false" ht="15" hidden="false" customHeight="false" outlineLevel="0" collapsed="false">
      <c r="A13" s="7" t="s">
        <v>80</v>
      </c>
      <c r="B13" s="8" t="n">
        <v>860</v>
      </c>
      <c r="C13" s="9" t="n">
        <v>129000</v>
      </c>
      <c r="D13" s="9" t="n">
        <v>137600</v>
      </c>
      <c r="E13" s="13" t="n">
        <v>11</v>
      </c>
      <c r="F13" s="19" t="n">
        <f aca="false">IF($E13=0,1,$E13+1)</f>
        <v>12</v>
      </c>
      <c r="G13" s="20" t="n">
        <f aca="false">IF($E13=0,$D13*(1+Growth),MAX($C13,$D13*(1+Growth)^$E13))</f>
        <v>175757.925289515</v>
      </c>
      <c r="H13" s="21" t="n">
        <f aca="false">$G13*LetFee</f>
        <v>26363.6887934273</v>
      </c>
    </row>
    <row r="14" customFormat="false" ht="15" hidden="false" customHeight="false" outlineLevel="0" collapsed="false">
      <c r="A14" s="7" t="s">
        <v>81</v>
      </c>
      <c r="B14" s="8" t="n">
        <v>720</v>
      </c>
      <c r="C14" s="9" t="n">
        <v>93600</v>
      </c>
      <c r="D14" s="9" t="n">
        <v>115200</v>
      </c>
      <c r="E14" s="13" t="n">
        <v>4</v>
      </c>
      <c r="F14" s="19" t="n">
        <f aca="false">IF($E14=0,1,$E14+1)</f>
        <v>5</v>
      </c>
      <c r="G14" s="20" t="n">
        <f aca="false">IF($E14=0,$D14*(1+Growth),MAX($C14,$D14*(1+Growth)^$E14))</f>
        <v>125923.1983245</v>
      </c>
      <c r="H14" s="21" t="n">
        <f aca="false">$G14*LetFee</f>
        <v>18888.479748675</v>
      </c>
    </row>
    <row r="15" customFormat="false" ht="15" hidden="false" customHeight="false" outlineLevel="0" collapsed="false">
      <c r="A15" s="7" t="s">
        <v>82</v>
      </c>
      <c r="B15" s="8" t="n">
        <v>640</v>
      </c>
      <c r="C15" s="9" t="n">
        <v>92800</v>
      </c>
      <c r="D15" s="9" t="n">
        <v>102400</v>
      </c>
      <c r="E15" s="13" t="n">
        <v>8</v>
      </c>
      <c r="F15" s="19" t="n">
        <f aca="false">IF($E15=0,1,$E15+1)</f>
        <v>9</v>
      </c>
      <c r="G15" s="20" t="n">
        <f aca="false">IF($E15=0,$D15*(1+Growth),MAX($C15,$D15*(1+Growth)^$E15))</f>
        <v>122350.708921847</v>
      </c>
      <c r="H15" s="21" t="n">
        <f aca="false">$G15*LetFee</f>
        <v>18352.606338277</v>
      </c>
    </row>
    <row r="16" customFormat="false" ht="15" hidden="false" customHeight="false" outlineLevel="0" collapsed="false">
      <c r="A16" s="7" t="s">
        <v>83</v>
      </c>
      <c r="B16" s="8" t="n">
        <v>1420</v>
      </c>
      <c r="C16" s="9" t="n">
        <v>0</v>
      </c>
      <c r="D16" s="9" t="n">
        <v>227200</v>
      </c>
      <c r="E16" s="13" t="n">
        <v>0</v>
      </c>
      <c r="F16" s="19" t="n">
        <f aca="false">IF($E16=0,1,$E16+1)</f>
        <v>1</v>
      </c>
      <c r="G16" s="20" t="n">
        <f aca="false">IF($E16=0,$D16*(1+Growth),MAX($C16,$D16*(1+Growth)^$E16))</f>
        <v>232312</v>
      </c>
      <c r="H16" s="21" t="n">
        <f aca="false">$G16*LetFee</f>
        <v>34846.8</v>
      </c>
    </row>
    <row r="17" customFormat="false" ht="15" hidden="false" customHeight="false" outlineLevel="0" collapsed="false">
      <c r="A17" s="7" t="s">
        <v>84</v>
      </c>
      <c r="B17" s="8" t="n">
        <v>1500</v>
      </c>
      <c r="C17" s="9" t="n">
        <v>0</v>
      </c>
      <c r="D17" s="9" t="n">
        <v>252000</v>
      </c>
      <c r="E17" s="13" t="n">
        <v>0</v>
      </c>
      <c r="F17" s="19" t="n">
        <f aca="false">IF($E17=0,1,$E17+1)</f>
        <v>1</v>
      </c>
      <c r="G17" s="20" t="n">
        <f aca="false">IF($E17=0,$D17*(1+Growth),MAX($C17,$D17*(1+Growth)^$E17))</f>
        <v>257670</v>
      </c>
      <c r="H17" s="21" t="n">
        <f aca="false">$G17*LetFee</f>
        <v>38650.5</v>
      </c>
    </row>
    <row r="18" customFormat="false" ht="15" hidden="false" customHeight="false" outlineLevel="0" collapsed="false">
      <c r="A18" s="11" t="s">
        <v>85</v>
      </c>
      <c r="B18" s="22" t="n">
        <f aca="false">SUM(B8:B17)</f>
        <v>14200</v>
      </c>
      <c r="C18" s="12" t="n">
        <f aca="false">SUM(C8:C17)</f>
        <v>1575900</v>
      </c>
      <c r="D18" s="12" t="n">
        <f aca="false">SUM(D8:D17)</f>
        <v>2284000</v>
      </c>
    </row>
    <row r="20" customFormat="false" ht="15" hidden="false" customHeight="false" outlineLevel="0" collapsed="false">
      <c r="A20" s="4" t="s">
        <v>86</v>
      </c>
      <c r="B20" s="6"/>
      <c r="C20" s="6"/>
      <c r="D20" s="6"/>
      <c r="E20" s="6"/>
      <c r="F20" s="6"/>
      <c r="G20" s="6"/>
      <c r="H20" s="6"/>
    </row>
    <row r="22" customFormat="false" ht="15" hidden="false" customHeight="false" outlineLevel="0" collapsed="false">
      <c r="A22" s="7" t="s">
        <v>87</v>
      </c>
      <c r="C22" s="23" t="n">
        <f aca="false">SUMIF($C$8:$C$17,0,$B$8:$B$17)/AreaTot</f>
        <v>0.205633802816901</v>
      </c>
      <c r="D22" s="7" t="s">
        <v>88</v>
      </c>
    </row>
    <row r="23" customFormat="false" ht="15" hidden="false" customHeight="false" outlineLevel="0" collapsed="false">
      <c r="A23" s="7" t="s">
        <v>89</v>
      </c>
      <c r="C23" s="23" t="n">
        <f aca="false">SUMIF($C$8:$C$17,0,$D$8:$D$17)/ErvTot</f>
        <v>0.209807355516637</v>
      </c>
    </row>
    <row r="24" customFormat="false" ht="15" hidden="false" customHeight="false" outlineLevel="0" collapsed="false">
      <c r="A24" s="7" t="s">
        <v>90</v>
      </c>
      <c r="C24" s="23" t="n">
        <f aca="false">ErvTot/PassRent-1</f>
        <v>0.449330541278</v>
      </c>
    </row>
    <row r="25" customFormat="false" ht="15" hidden="false" customHeight="false" outlineLevel="0" collapsed="false">
      <c r="A25" s="11" t="s">
        <v>91</v>
      </c>
      <c r="C25" s="12" t="n">
        <f aca="false">ErvTot*(1-NonRec-MgmtFee)</f>
        <v>2229184</v>
      </c>
      <c r="D25" s="7"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4"/>
    <col collapsed="false" customWidth="true" hidden="false" outlineLevel="0" max="12" min="2" style="0" width="13"/>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18" t="s">
        <v>95</v>
      </c>
    </row>
    <row r="7" customFormat="false" ht="15" hidden="false" customHeight="false" outlineLevel="0" collapsed="false">
      <c r="A7" s="4" t="s">
        <v>96</v>
      </c>
      <c r="B7" s="6"/>
      <c r="C7" s="6"/>
      <c r="D7" s="6"/>
      <c r="E7" s="6"/>
      <c r="F7" s="6"/>
      <c r="G7" s="6"/>
      <c r="H7" s="6"/>
      <c r="I7" s="6"/>
      <c r="J7" s="6"/>
      <c r="K7" s="6"/>
      <c r="L7" s="6"/>
    </row>
    <row r="9" customFormat="false" ht="15" hidden="false" customHeight="false" outlineLevel="0" collapsed="false">
      <c r="A9" s="24" t="s">
        <v>55</v>
      </c>
      <c r="B9" s="25" t="n">
        <v>1</v>
      </c>
      <c r="C9" s="25" t="n">
        <f aca="false">B9+1</f>
        <v>2</v>
      </c>
      <c r="D9" s="25" t="n">
        <f aca="false">C9+1</f>
        <v>3</v>
      </c>
      <c r="E9" s="25" t="n">
        <f aca="false">D9+1</f>
        <v>4</v>
      </c>
      <c r="F9" s="25" t="n">
        <f aca="false">E9+1</f>
        <v>5</v>
      </c>
      <c r="G9" s="25" t="n">
        <f aca="false">F9+1</f>
        <v>6</v>
      </c>
      <c r="H9" s="25" t="n">
        <f aca="false">G9+1</f>
        <v>7</v>
      </c>
      <c r="I9" s="25" t="n">
        <f aca="false">H9+1</f>
        <v>8</v>
      </c>
      <c r="J9" s="25" t="n">
        <f aca="false">I9+1</f>
        <v>9</v>
      </c>
      <c r="K9" s="25" t="n">
        <f aca="false">J9+1</f>
        <v>10</v>
      </c>
      <c r="L9" s="25" t="n">
        <f aca="false">K9+1</f>
        <v>11</v>
      </c>
    </row>
    <row r="10" customFormat="false" ht="15" hidden="false" customHeight="false" outlineLevel="0" collapsed="false">
      <c r="A10" s="7" t="str">
        <f aca="false">'Rent roll'!A8</f>
        <v>Ardgour Logistics</v>
      </c>
      <c r="B10" s="26" t="n">
        <f aca="false">IF(B$9&lt;='Rent roll'!$E8,'Rent roll'!$C8,IF(B$9='Rent roll'!$F8,'Rent roll'!$G8*LetFrac,IF(B$9&gt;'Rent roll'!$F8,'Rent roll'!$G8,0)))</f>
        <v>472500</v>
      </c>
      <c r="C10" s="26" t="n">
        <f aca="false">IF(C$9&lt;='Rent roll'!$E8,'Rent roll'!$C8,IF(C$9='Rent roll'!$F8,'Rent roll'!$G8*LetFrac,IF(C$9&gt;'Rent roll'!$F8,'Rent roll'!$G8,0)))</f>
        <v>472500</v>
      </c>
      <c r="D10" s="26" t="n">
        <f aca="false">IF(D$9&lt;='Rent roll'!$E8,'Rent roll'!$C8,IF(D$9='Rent roll'!$F8,'Rent roll'!$G8*LetFrac,IF(D$9&gt;'Rent roll'!$F8,'Rent roll'!$G8,0)))</f>
        <v>472500</v>
      </c>
      <c r="E10" s="26" t="n">
        <f aca="false">IF(E$9&lt;='Rent roll'!$E8,'Rent roll'!$C8,IF(E$9='Rent roll'!$F8,'Rent roll'!$G8*LetFrac,IF(E$9&gt;'Rent roll'!$F8,'Rent roll'!$G8,0)))</f>
        <v>472500</v>
      </c>
      <c r="F10" s="26" t="n">
        <f aca="false">IF(F$9&lt;='Rent roll'!$E8,'Rent roll'!$C8,IF(F$9='Rent roll'!$F8,'Rent roll'!$G8*LetFrac,IF(F$9&gt;'Rent roll'!$F8,'Rent roll'!$G8,0)))</f>
        <v>472500</v>
      </c>
      <c r="G10" s="26" t="n">
        <f aca="false">IF(G$9&lt;='Rent roll'!$E8,'Rent roll'!$C8,IF(G$9='Rent roll'!$F8,'Rent roll'!$G8*LetFrac,IF(G$9&gt;'Rent roll'!$F8,'Rent roll'!$G8,0)))</f>
        <v>472500</v>
      </c>
      <c r="H10" s="26" t="n">
        <f aca="false">IF(H$9&lt;='Rent roll'!$E8,'Rent roll'!$C8,IF(H$9='Rent roll'!$F8,'Rent roll'!$G8*LetFrac,IF(H$9&gt;'Rent roll'!$F8,'Rent roll'!$G8,0)))</f>
        <v>472500</v>
      </c>
      <c r="I10" s="26" t="n">
        <f aca="false">IF(I$9&lt;='Rent roll'!$E8,'Rent roll'!$C8,IF(I$9='Rent roll'!$F8,'Rent roll'!$G8*LetFrac,IF(I$9&gt;'Rent roll'!$F8,'Rent roll'!$G8,0)))</f>
        <v>147235.915763989</v>
      </c>
      <c r="J10" s="26" t="n">
        <f aca="false">IF(J$9&lt;='Rent roll'!$E8,'Rent roll'!$C8,IF(J$9='Rent roll'!$F8,'Rent roll'!$G8*LetFrac,IF(J$9&gt;'Rent roll'!$F8,'Rent roll'!$G8,0)))</f>
        <v>588943.663055956</v>
      </c>
      <c r="K10" s="26" t="n">
        <f aca="false">IF(K$9&lt;='Rent roll'!$E8,'Rent roll'!$C8,IF(K$9='Rent roll'!$F8,'Rent roll'!$G8*LetFrac,IF(K$9&gt;'Rent roll'!$F8,'Rent roll'!$G8,0)))</f>
        <v>588943.663055956</v>
      </c>
      <c r="L10" s="26" t="n">
        <f aca="false">IF(L$9&lt;='Rent roll'!$E8,'Rent roll'!$C8,IF(L$9='Rent roll'!$F8,'Rent roll'!$G8*LetFrac,IF(L$9&gt;'Rent roll'!$F8,'Rent roll'!$G8,0)))</f>
        <v>588943.663055956</v>
      </c>
    </row>
    <row r="11" customFormat="false" ht="15" hidden="false" customHeight="false" outlineLevel="0" collapsed="false">
      <c r="A11" s="7" t="str">
        <f aca="false">'Rent roll'!A9</f>
        <v>Kilmory Print</v>
      </c>
      <c r="B11" s="26" t="n">
        <f aca="false">IF(B$9&lt;='Rent roll'!$E9,'Rent roll'!$C9,IF(B$9='Rent roll'!$F9,'Rent roll'!$G9*LetFrac,IF(B$9&gt;'Rent roll'!$F9,'Rent roll'!$G9,0)))</f>
        <v>257400</v>
      </c>
      <c r="C11" s="26" t="n">
        <f aca="false">IF(C$9&lt;='Rent roll'!$E9,'Rent roll'!$C9,IF(C$9='Rent roll'!$F9,'Rent roll'!$G9*LetFrac,IF(C$9&gt;'Rent roll'!$F9,'Rent roll'!$G9,0)))</f>
        <v>257400</v>
      </c>
      <c r="D11" s="26" t="n">
        <f aca="false">IF(D$9&lt;='Rent roll'!$E9,'Rent roll'!$C9,IF(D$9='Rent roll'!$F9,'Rent roll'!$G9*LetFrac,IF(D$9&gt;'Rent roll'!$F9,'Rent roll'!$G9,0)))</f>
        <v>257400</v>
      </c>
      <c r="E11" s="26" t="n">
        <f aca="false">IF(E$9&lt;='Rent roll'!$E9,'Rent roll'!$C9,IF(E$9='Rent roll'!$F9,'Rent roll'!$G9*LetFrac,IF(E$9&gt;'Rent roll'!$F9,'Rent roll'!$G9,0)))</f>
        <v>84667.1871375</v>
      </c>
      <c r="F11" s="26" t="n">
        <f aca="false">IF(F$9&lt;='Rent roll'!$E9,'Rent roll'!$C9,IF(F$9='Rent roll'!$F9,'Rent roll'!$G9*LetFrac,IF(F$9&gt;'Rent roll'!$F9,'Rent roll'!$G9,0)))</f>
        <v>338668.74855</v>
      </c>
      <c r="G11" s="26" t="n">
        <f aca="false">IF(G$9&lt;='Rent roll'!$E9,'Rent roll'!$C9,IF(G$9='Rent roll'!$F9,'Rent roll'!$G9*LetFrac,IF(G$9&gt;'Rent roll'!$F9,'Rent roll'!$G9,0)))</f>
        <v>338668.74855</v>
      </c>
      <c r="H11" s="26" t="n">
        <f aca="false">IF(H$9&lt;='Rent roll'!$E9,'Rent roll'!$C9,IF(H$9='Rent roll'!$F9,'Rent roll'!$G9*LetFrac,IF(H$9&gt;'Rent roll'!$F9,'Rent roll'!$G9,0)))</f>
        <v>338668.74855</v>
      </c>
      <c r="I11" s="26" t="n">
        <f aca="false">IF(I$9&lt;='Rent roll'!$E9,'Rent roll'!$C9,IF(I$9='Rent roll'!$F9,'Rent roll'!$G9*LetFrac,IF(I$9&gt;'Rent roll'!$F9,'Rent roll'!$G9,0)))</f>
        <v>338668.74855</v>
      </c>
      <c r="J11" s="26" t="n">
        <f aca="false">IF(J$9&lt;='Rent roll'!$E9,'Rent roll'!$C9,IF(J$9='Rent roll'!$F9,'Rent roll'!$G9*LetFrac,IF(J$9&gt;'Rent roll'!$F9,'Rent roll'!$G9,0)))</f>
        <v>338668.74855</v>
      </c>
      <c r="K11" s="26" t="n">
        <f aca="false">IF(K$9&lt;='Rent roll'!$E9,'Rent roll'!$C9,IF(K$9='Rent roll'!$F9,'Rent roll'!$G9*LetFrac,IF(K$9&gt;'Rent roll'!$F9,'Rent roll'!$G9,0)))</f>
        <v>338668.74855</v>
      </c>
      <c r="L11" s="26" t="n">
        <f aca="false">IF(L$9&lt;='Rent roll'!$E9,'Rent roll'!$C9,IF(L$9='Rent roll'!$F9,'Rent roll'!$G9*LetFrac,IF(L$9&gt;'Rent roll'!$F9,'Rent roll'!$G9,0)))</f>
        <v>338668.74855</v>
      </c>
    </row>
    <row r="12" customFormat="false" ht="15" hidden="false" customHeight="false" outlineLevel="0" collapsed="false">
      <c r="A12" s="7" t="str">
        <f aca="false">'Rent roll'!A10</f>
        <v>Tannoch Foods</v>
      </c>
      <c r="B12" s="26" t="n">
        <f aca="false">IF(B$9&lt;='Rent roll'!$E10,'Rent roll'!$C10,IF(B$9='Rent roll'!$F10,'Rent roll'!$G10*LetFrac,IF(B$9&gt;'Rent roll'!$F10,'Rent roll'!$G10,0)))</f>
        <v>229600</v>
      </c>
      <c r="C12" s="26" t="n">
        <f aca="false">IF(C$9&lt;='Rent roll'!$E10,'Rent roll'!$C10,IF(C$9='Rent roll'!$F10,'Rent roll'!$G10*LetFrac,IF(C$9&gt;'Rent roll'!$F10,'Rent roll'!$G10,0)))</f>
        <v>229600</v>
      </c>
      <c r="D12" s="26" t="n">
        <f aca="false">IF(D$9&lt;='Rent roll'!$E10,'Rent roll'!$C10,IF(D$9='Rent roll'!$F10,'Rent roll'!$G10*LetFrac,IF(D$9&gt;'Rent roll'!$F10,'Rent roll'!$G10,0)))</f>
        <v>229600</v>
      </c>
      <c r="E12" s="26" t="n">
        <f aca="false">IF(E$9&lt;='Rent roll'!$E10,'Rent roll'!$C10,IF(E$9='Rent roll'!$F10,'Rent roll'!$G10*LetFrac,IF(E$9&gt;'Rent roll'!$F10,'Rent roll'!$G10,0)))</f>
        <v>229600</v>
      </c>
      <c r="F12" s="26" t="n">
        <f aca="false">IF(F$9&lt;='Rent roll'!$E10,'Rent roll'!$C10,IF(F$9='Rent roll'!$F10,'Rent roll'!$G10*LetFrac,IF(F$9&gt;'Rent roll'!$F10,'Rent roll'!$G10,0)))</f>
        <v>229600</v>
      </c>
      <c r="G12" s="26" t="n">
        <f aca="false">IF(G$9&lt;='Rent roll'!$E10,'Rent roll'!$C10,IF(G$9='Rent roll'!$F10,'Rent roll'!$G10*LetFrac,IF(G$9&gt;'Rent roll'!$F10,'Rent roll'!$G10,0)))</f>
        <v>229600</v>
      </c>
      <c r="H12" s="26" t="n">
        <f aca="false">IF(H$9&lt;='Rent roll'!$E10,'Rent roll'!$C10,IF(H$9='Rent roll'!$F10,'Rent roll'!$G10*LetFrac,IF(H$9&gt;'Rent roll'!$F10,'Rent roll'!$G10,0)))</f>
        <v>229600</v>
      </c>
      <c r="I12" s="26" t="n">
        <f aca="false">IF(I$9&lt;='Rent roll'!$E10,'Rent roll'!$C10,IF(I$9='Rent roll'!$F10,'Rent roll'!$G10*LetFrac,IF(I$9&gt;'Rent roll'!$F10,'Rent roll'!$G10,0)))</f>
        <v>229600</v>
      </c>
      <c r="J12" s="26" t="n">
        <f aca="false">IF(J$9&lt;='Rent roll'!$E10,'Rent roll'!$C10,IF(J$9='Rent roll'!$F10,'Rent roll'!$G10*LetFrac,IF(J$9&gt;'Rent roll'!$F10,'Rent roll'!$G10,0)))</f>
        <v>229600</v>
      </c>
      <c r="K12" s="26" t="n">
        <f aca="false">IF(K$9&lt;='Rent roll'!$E10,'Rent roll'!$C10,IF(K$9='Rent roll'!$F10,'Rent roll'!$G10*LetFrac,IF(K$9&gt;'Rent roll'!$F10,'Rent roll'!$G10,0)))</f>
        <v>80144.493668377</v>
      </c>
      <c r="L12" s="26" t="n">
        <f aca="false">IF(L$9&lt;='Rent roll'!$E10,'Rent roll'!$C10,IF(L$9='Rent roll'!$F10,'Rent roll'!$G10*LetFrac,IF(L$9&gt;'Rent roll'!$F10,'Rent roll'!$G10,0)))</f>
        <v>320577.974673508</v>
      </c>
    </row>
    <row r="13" customFormat="false" ht="15" hidden="false" customHeight="false" outlineLevel="0" collapsed="false">
      <c r="A13" s="7" t="str">
        <f aca="false">'Rent roll'!A11</f>
        <v>Struan Instruments</v>
      </c>
      <c r="B13" s="26" t="n">
        <f aca="false">IF(B$9&lt;='Rent roll'!$E11,'Rent roll'!$C11,IF(B$9='Rent roll'!$F11,'Rent roll'!$G11*LetFrac,IF(B$9&gt;'Rent roll'!$F11,'Rent roll'!$G11,0)))</f>
        <v>183400</v>
      </c>
      <c r="C13" s="26" t="n">
        <f aca="false">IF(C$9&lt;='Rent roll'!$E11,'Rent roll'!$C11,IF(C$9='Rent roll'!$F11,'Rent roll'!$G11*LetFrac,IF(C$9&gt;'Rent roll'!$F11,'Rent roll'!$G11,0)))</f>
        <v>183400</v>
      </c>
      <c r="D13" s="26" t="n">
        <f aca="false">IF(D$9&lt;='Rent roll'!$E11,'Rent roll'!$C11,IF(D$9='Rent roll'!$F11,'Rent roll'!$G11*LetFrac,IF(D$9&gt;'Rent roll'!$F11,'Rent roll'!$G11,0)))</f>
        <v>183400</v>
      </c>
      <c r="E13" s="26" t="n">
        <f aca="false">IF(E$9&lt;='Rent roll'!$E11,'Rent roll'!$C11,IF(E$9='Rent roll'!$F11,'Rent roll'!$G11*LetFrac,IF(E$9&gt;'Rent roll'!$F11,'Rent roll'!$G11,0)))</f>
        <v>183400</v>
      </c>
      <c r="F13" s="26" t="n">
        <f aca="false">IF(F$9&lt;='Rent roll'!$E11,'Rent roll'!$C11,IF(F$9='Rent roll'!$F11,'Rent roll'!$G11*LetFrac,IF(F$9&gt;'Rent roll'!$F11,'Rent roll'!$G11,0)))</f>
        <v>183400</v>
      </c>
      <c r="G13" s="26" t="n">
        <f aca="false">IF(G$9&lt;='Rent roll'!$E11,'Rent roll'!$C11,IF(G$9='Rent roll'!$F11,'Rent roll'!$G11*LetFrac,IF(G$9&gt;'Rent roll'!$F11,'Rent roll'!$G11,0)))</f>
        <v>58566.3111373992</v>
      </c>
      <c r="H13" s="26" t="n">
        <f aca="false">IF(H$9&lt;='Rent roll'!$E11,'Rent roll'!$C11,IF(H$9='Rent roll'!$F11,'Rent roll'!$G11*LetFrac,IF(H$9&gt;'Rent roll'!$F11,'Rent roll'!$G11,0)))</f>
        <v>234265.244549597</v>
      </c>
      <c r="I13" s="26" t="n">
        <f aca="false">IF(I$9&lt;='Rent roll'!$E11,'Rent roll'!$C11,IF(I$9='Rent roll'!$F11,'Rent roll'!$G11*LetFrac,IF(I$9&gt;'Rent roll'!$F11,'Rent roll'!$G11,0)))</f>
        <v>234265.244549597</v>
      </c>
      <c r="J13" s="26" t="n">
        <f aca="false">IF(J$9&lt;='Rent roll'!$E11,'Rent roll'!$C11,IF(J$9='Rent roll'!$F11,'Rent roll'!$G11*LetFrac,IF(J$9&gt;'Rent roll'!$F11,'Rent roll'!$G11,0)))</f>
        <v>234265.244549597</v>
      </c>
      <c r="K13" s="26" t="n">
        <f aca="false">IF(K$9&lt;='Rent roll'!$E11,'Rent roll'!$C11,IF(K$9='Rent roll'!$F11,'Rent roll'!$G11*LetFrac,IF(K$9&gt;'Rent roll'!$F11,'Rent roll'!$G11,0)))</f>
        <v>234265.244549597</v>
      </c>
      <c r="L13" s="26" t="n">
        <f aca="false">IF(L$9&lt;='Rent roll'!$E11,'Rent roll'!$C11,IF(L$9='Rent roll'!$F11,'Rent roll'!$G11*LetFrac,IF(L$9&gt;'Rent roll'!$F11,'Rent roll'!$G11,0)))</f>
        <v>234265.244549597</v>
      </c>
    </row>
    <row r="14" customFormat="false" ht="15" hidden="false" customHeight="false" outlineLevel="0" collapsed="false">
      <c r="A14" s="7" t="str">
        <f aca="false">'Rent roll'!A12</f>
        <v>Balvaig Textiles</v>
      </c>
      <c r="B14" s="26" t="n">
        <f aca="false">IF(B$9&lt;='Rent roll'!$E12,'Rent roll'!$C12,IF(B$9='Rent roll'!$F12,'Rent roll'!$G12*LetFrac,IF(B$9&gt;'Rent roll'!$F12,'Rent roll'!$G12,0)))</f>
        <v>117600</v>
      </c>
      <c r="C14" s="26" t="n">
        <f aca="false">IF(C$9&lt;='Rent roll'!$E12,'Rent roll'!$C12,IF(C$9='Rent roll'!$F12,'Rent roll'!$G12*LetFrac,IF(C$9&gt;'Rent roll'!$F12,'Rent roll'!$G12,0)))</f>
        <v>117600</v>
      </c>
      <c r="D14" s="26" t="n">
        <f aca="false">IF(D$9&lt;='Rent roll'!$E12,'Rent roll'!$C12,IF(D$9='Rent roll'!$F12,'Rent roll'!$G12*LetFrac,IF(D$9&gt;'Rent roll'!$F12,'Rent roll'!$G12,0)))</f>
        <v>40983.845</v>
      </c>
      <c r="E14" s="26" t="n">
        <f aca="false">IF(E$9&lt;='Rent roll'!$E12,'Rent roll'!$C12,IF(E$9='Rent roll'!$F12,'Rent roll'!$G12*LetFrac,IF(E$9&gt;'Rent roll'!$F12,'Rent roll'!$G12,0)))</f>
        <v>163935.38</v>
      </c>
      <c r="F14" s="26" t="n">
        <f aca="false">IF(F$9&lt;='Rent roll'!$E12,'Rent roll'!$C12,IF(F$9='Rent roll'!$F12,'Rent roll'!$G12*LetFrac,IF(F$9&gt;'Rent roll'!$F12,'Rent roll'!$G12,0)))</f>
        <v>163935.38</v>
      </c>
      <c r="G14" s="26" t="n">
        <f aca="false">IF(G$9&lt;='Rent roll'!$E12,'Rent roll'!$C12,IF(G$9='Rent roll'!$F12,'Rent roll'!$G12*LetFrac,IF(G$9&gt;'Rent roll'!$F12,'Rent roll'!$G12,0)))</f>
        <v>163935.38</v>
      </c>
      <c r="H14" s="26" t="n">
        <f aca="false">IF(H$9&lt;='Rent roll'!$E12,'Rent roll'!$C12,IF(H$9='Rent roll'!$F12,'Rent roll'!$G12*LetFrac,IF(H$9&gt;'Rent roll'!$F12,'Rent roll'!$G12,0)))</f>
        <v>163935.38</v>
      </c>
      <c r="I14" s="26" t="n">
        <f aca="false">IF(I$9&lt;='Rent roll'!$E12,'Rent roll'!$C12,IF(I$9='Rent roll'!$F12,'Rent roll'!$G12*LetFrac,IF(I$9&gt;'Rent roll'!$F12,'Rent roll'!$G12,0)))</f>
        <v>163935.38</v>
      </c>
      <c r="J14" s="26" t="n">
        <f aca="false">IF(J$9&lt;='Rent roll'!$E12,'Rent roll'!$C12,IF(J$9='Rent roll'!$F12,'Rent roll'!$G12*LetFrac,IF(J$9&gt;'Rent roll'!$F12,'Rent roll'!$G12,0)))</f>
        <v>163935.38</v>
      </c>
      <c r="K14" s="26" t="n">
        <f aca="false">IF(K$9&lt;='Rent roll'!$E12,'Rent roll'!$C12,IF(K$9='Rent roll'!$F12,'Rent roll'!$G12*LetFrac,IF(K$9&gt;'Rent roll'!$F12,'Rent roll'!$G12,0)))</f>
        <v>163935.38</v>
      </c>
      <c r="L14" s="26" t="n">
        <f aca="false">IF(L$9&lt;='Rent roll'!$E12,'Rent roll'!$C12,IF(L$9='Rent roll'!$F12,'Rent roll'!$G12*LetFrac,IF(L$9&gt;'Rent roll'!$F12,'Rent roll'!$G12,0)))</f>
        <v>163935.38</v>
      </c>
    </row>
    <row r="15" customFormat="false" ht="15" hidden="false" customHeight="false" outlineLevel="0" collapsed="false">
      <c r="A15" s="7" t="str">
        <f aca="false">'Rent roll'!A13</f>
        <v>Corrour Systems</v>
      </c>
      <c r="B15" s="26" t="n">
        <f aca="false">IF(B$9&lt;='Rent roll'!$E13,'Rent roll'!$C13,IF(B$9='Rent roll'!$F13,'Rent roll'!$G13*LetFrac,IF(B$9&gt;'Rent roll'!$F13,'Rent roll'!$G13,0)))</f>
        <v>129000</v>
      </c>
      <c r="C15" s="26" t="n">
        <f aca="false">IF(C$9&lt;='Rent roll'!$E13,'Rent roll'!$C13,IF(C$9='Rent roll'!$F13,'Rent roll'!$G13*LetFrac,IF(C$9&gt;'Rent roll'!$F13,'Rent roll'!$G13,0)))</f>
        <v>129000</v>
      </c>
      <c r="D15" s="26" t="n">
        <f aca="false">IF(D$9&lt;='Rent roll'!$E13,'Rent roll'!$C13,IF(D$9='Rent roll'!$F13,'Rent roll'!$G13*LetFrac,IF(D$9&gt;'Rent roll'!$F13,'Rent roll'!$G13,0)))</f>
        <v>129000</v>
      </c>
      <c r="E15" s="26" t="n">
        <f aca="false">IF(E$9&lt;='Rent roll'!$E13,'Rent roll'!$C13,IF(E$9='Rent roll'!$F13,'Rent roll'!$G13*LetFrac,IF(E$9&gt;'Rent roll'!$F13,'Rent roll'!$G13,0)))</f>
        <v>129000</v>
      </c>
      <c r="F15" s="26" t="n">
        <f aca="false">IF(F$9&lt;='Rent roll'!$E13,'Rent roll'!$C13,IF(F$9='Rent roll'!$F13,'Rent roll'!$G13*LetFrac,IF(F$9&gt;'Rent roll'!$F13,'Rent roll'!$G13,0)))</f>
        <v>129000</v>
      </c>
      <c r="G15" s="26" t="n">
        <f aca="false">IF(G$9&lt;='Rent roll'!$E13,'Rent roll'!$C13,IF(G$9='Rent roll'!$F13,'Rent roll'!$G13*LetFrac,IF(G$9&gt;'Rent roll'!$F13,'Rent roll'!$G13,0)))</f>
        <v>129000</v>
      </c>
      <c r="H15" s="26" t="n">
        <f aca="false">IF(H$9&lt;='Rent roll'!$E13,'Rent roll'!$C13,IF(H$9='Rent roll'!$F13,'Rent roll'!$G13*LetFrac,IF(H$9&gt;'Rent roll'!$F13,'Rent roll'!$G13,0)))</f>
        <v>129000</v>
      </c>
      <c r="I15" s="26" t="n">
        <f aca="false">IF(I$9&lt;='Rent roll'!$E13,'Rent roll'!$C13,IF(I$9='Rent roll'!$F13,'Rent roll'!$G13*LetFrac,IF(I$9&gt;'Rent roll'!$F13,'Rent roll'!$G13,0)))</f>
        <v>129000</v>
      </c>
      <c r="J15" s="26" t="n">
        <f aca="false">IF(J$9&lt;='Rent roll'!$E13,'Rent roll'!$C13,IF(J$9='Rent roll'!$F13,'Rent roll'!$G13*LetFrac,IF(J$9&gt;'Rent roll'!$F13,'Rent roll'!$G13,0)))</f>
        <v>129000</v>
      </c>
      <c r="K15" s="26" t="n">
        <f aca="false">IF(K$9&lt;='Rent roll'!$E13,'Rent roll'!$C13,IF(K$9='Rent roll'!$F13,'Rent roll'!$G13*LetFrac,IF(K$9&gt;'Rent roll'!$F13,'Rent roll'!$G13,0)))</f>
        <v>129000</v>
      </c>
      <c r="L15" s="26" t="n">
        <f aca="false">IF(L$9&lt;='Rent roll'!$E13,'Rent roll'!$C13,IF(L$9='Rent roll'!$F13,'Rent roll'!$G13*LetFrac,IF(L$9&gt;'Rent roll'!$F13,'Rent roll'!$G13,0)))</f>
        <v>129000</v>
      </c>
    </row>
    <row r="16" customFormat="false" ht="15" hidden="false" customHeight="false" outlineLevel="0" collapsed="false">
      <c r="A16" s="7" t="str">
        <f aca="false">'Rent roll'!A14</f>
        <v>Dunardry Media</v>
      </c>
      <c r="B16" s="26" t="n">
        <f aca="false">IF(B$9&lt;='Rent roll'!$E14,'Rent roll'!$C14,IF(B$9='Rent roll'!$F14,'Rent roll'!$G14*LetFrac,IF(B$9&gt;'Rent roll'!$F14,'Rent roll'!$G14,0)))</f>
        <v>93600</v>
      </c>
      <c r="C16" s="26" t="n">
        <f aca="false">IF(C$9&lt;='Rent roll'!$E14,'Rent roll'!$C14,IF(C$9='Rent roll'!$F14,'Rent roll'!$G14*LetFrac,IF(C$9&gt;'Rent roll'!$F14,'Rent roll'!$G14,0)))</f>
        <v>93600</v>
      </c>
      <c r="D16" s="26" t="n">
        <f aca="false">IF(D$9&lt;='Rent roll'!$E14,'Rent roll'!$C14,IF(D$9='Rent roll'!$F14,'Rent roll'!$G14*LetFrac,IF(D$9&gt;'Rent roll'!$F14,'Rent roll'!$G14,0)))</f>
        <v>93600</v>
      </c>
      <c r="E16" s="26" t="n">
        <f aca="false">IF(E$9&lt;='Rent roll'!$E14,'Rent roll'!$C14,IF(E$9='Rent roll'!$F14,'Rent roll'!$G14*LetFrac,IF(E$9&gt;'Rent roll'!$F14,'Rent roll'!$G14,0)))</f>
        <v>93600</v>
      </c>
      <c r="F16" s="26" t="n">
        <f aca="false">IF(F$9&lt;='Rent roll'!$E14,'Rent roll'!$C14,IF(F$9='Rent roll'!$F14,'Rent roll'!$G14*LetFrac,IF(F$9&gt;'Rent roll'!$F14,'Rent roll'!$G14,0)))</f>
        <v>31480.799581125</v>
      </c>
      <c r="G16" s="26" t="n">
        <f aca="false">IF(G$9&lt;='Rent roll'!$E14,'Rent roll'!$C14,IF(G$9='Rent roll'!$F14,'Rent roll'!$G14*LetFrac,IF(G$9&gt;'Rent roll'!$F14,'Rent roll'!$G14,0)))</f>
        <v>125923.1983245</v>
      </c>
      <c r="H16" s="26" t="n">
        <f aca="false">IF(H$9&lt;='Rent roll'!$E14,'Rent roll'!$C14,IF(H$9='Rent roll'!$F14,'Rent roll'!$G14*LetFrac,IF(H$9&gt;'Rent roll'!$F14,'Rent roll'!$G14,0)))</f>
        <v>125923.1983245</v>
      </c>
      <c r="I16" s="26" t="n">
        <f aca="false">IF(I$9&lt;='Rent roll'!$E14,'Rent roll'!$C14,IF(I$9='Rent roll'!$F14,'Rent roll'!$G14*LetFrac,IF(I$9&gt;'Rent roll'!$F14,'Rent roll'!$G14,0)))</f>
        <v>125923.1983245</v>
      </c>
      <c r="J16" s="26" t="n">
        <f aca="false">IF(J$9&lt;='Rent roll'!$E14,'Rent roll'!$C14,IF(J$9='Rent roll'!$F14,'Rent roll'!$G14*LetFrac,IF(J$9&gt;'Rent roll'!$F14,'Rent roll'!$G14,0)))</f>
        <v>125923.1983245</v>
      </c>
      <c r="K16" s="26" t="n">
        <f aca="false">IF(K$9&lt;='Rent roll'!$E14,'Rent roll'!$C14,IF(K$9='Rent roll'!$F14,'Rent roll'!$G14*LetFrac,IF(K$9&gt;'Rent roll'!$F14,'Rent roll'!$G14,0)))</f>
        <v>125923.1983245</v>
      </c>
      <c r="L16" s="26" t="n">
        <f aca="false">IF(L$9&lt;='Rent roll'!$E14,'Rent roll'!$C14,IF(L$9='Rent roll'!$F14,'Rent roll'!$G14*LetFrac,IF(L$9&gt;'Rent roll'!$F14,'Rent roll'!$G14,0)))</f>
        <v>125923.1983245</v>
      </c>
    </row>
    <row r="17" customFormat="false" ht="15" hidden="false" customHeight="false" outlineLevel="0" collapsed="false">
      <c r="A17" s="7" t="str">
        <f aca="false">'Rent roll'!A15</f>
        <v>Eilanreach Labs</v>
      </c>
      <c r="B17" s="26" t="n">
        <f aca="false">IF(B$9&lt;='Rent roll'!$E15,'Rent roll'!$C15,IF(B$9='Rent roll'!$F15,'Rent roll'!$G15*LetFrac,IF(B$9&gt;'Rent roll'!$F15,'Rent roll'!$G15,0)))</f>
        <v>92800</v>
      </c>
      <c r="C17" s="26" t="n">
        <f aca="false">IF(C$9&lt;='Rent roll'!$E15,'Rent roll'!$C15,IF(C$9='Rent roll'!$F15,'Rent roll'!$G15*LetFrac,IF(C$9&gt;'Rent roll'!$F15,'Rent roll'!$G15,0)))</f>
        <v>92800</v>
      </c>
      <c r="D17" s="26" t="n">
        <f aca="false">IF(D$9&lt;='Rent roll'!$E15,'Rent roll'!$C15,IF(D$9='Rent roll'!$F15,'Rent roll'!$G15*LetFrac,IF(D$9&gt;'Rent roll'!$F15,'Rent roll'!$G15,0)))</f>
        <v>92800</v>
      </c>
      <c r="E17" s="26" t="n">
        <f aca="false">IF(E$9&lt;='Rent roll'!$E15,'Rent roll'!$C15,IF(E$9='Rent roll'!$F15,'Rent roll'!$G15*LetFrac,IF(E$9&gt;'Rent roll'!$F15,'Rent roll'!$G15,0)))</f>
        <v>92800</v>
      </c>
      <c r="F17" s="26" t="n">
        <f aca="false">IF(F$9&lt;='Rent roll'!$E15,'Rent roll'!$C15,IF(F$9='Rent roll'!$F15,'Rent roll'!$G15*LetFrac,IF(F$9&gt;'Rent roll'!$F15,'Rent roll'!$G15,0)))</f>
        <v>92800</v>
      </c>
      <c r="G17" s="26" t="n">
        <f aca="false">IF(G$9&lt;='Rent roll'!$E15,'Rent roll'!$C15,IF(G$9='Rent roll'!$F15,'Rent roll'!$G15*LetFrac,IF(G$9&gt;'Rent roll'!$F15,'Rent roll'!$G15,0)))</f>
        <v>92800</v>
      </c>
      <c r="H17" s="26" t="n">
        <f aca="false">IF(H$9&lt;='Rent roll'!$E15,'Rent roll'!$C15,IF(H$9='Rent roll'!$F15,'Rent roll'!$G15*LetFrac,IF(H$9&gt;'Rent roll'!$F15,'Rent roll'!$G15,0)))</f>
        <v>92800</v>
      </c>
      <c r="I17" s="26" t="n">
        <f aca="false">IF(I$9&lt;='Rent roll'!$E15,'Rent roll'!$C15,IF(I$9='Rent roll'!$F15,'Rent roll'!$G15*LetFrac,IF(I$9&gt;'Rent roll'!$F15,'Rent roll'!$G15,0)))</f>
        <v>92800</v>
      </c>
      <c r="J17" s="26" t="n">
        <f aca="false">IF(J$9&lt;='Rent roll'!$E15,'Rent roll'!$C15,IF(J$9='Rent roll'!$F15,'Rent roll'!$G15*LetFrac,IF(J$9&gt;'Rent roll'!$F15,'Rent roll'!$G15,0)))</f>
        <v>30587.6772304617</v>
      </c>
      <c r="K17" s="26" t="n">
        <f aca="false">IF(K$9&lt;='Rent roll'!$E15,'Rent roll'!$C15,IF(K$9='Rent roll'!$F15,'Rent roll'!$G15*LetFrac,IF(K$9&gt;'Rent roll'!$F15,'Rent roll'!$G15,0)))</f>
        <v>122350.708921847</v>
      </c>
      <c r="L17" s="26" t="n">
        <f aca="false">IF(L$9&lt;='Rent roll'!$E15,'Rent roll'!$C15,IF(L$9='Rent roll'!$F15,'Rent roll'!$G15*LetFrac,IF(L$9&gt;'Rent roll'!$F15,'Rent roll'!$G15,0)))</f>
        <v>122350.708921847</v>
      </c>
    </row>
    <row r="18" customFormat="false" ht="15" hidden="false" customHeight="false" outlineLevel="0" collapsed="false">
      <c r="A18" s="7" t="str">
        <f aca="false">'Rent roll'!A16</f>
        <v>Unit 9 (empty at acquisition)</v>
      </c>
      <c r="B18" s="26" t="n">
        <f aca="false">IF(B$9&lt;='Rent roll'!$E16,'Rent roll'!$C16,IF(B$9='Rent roll'!$F16,'Rent roll'!$G16*LetFrac,IF(B$9&gt;'Rent roll'!$F16,'Rent roll'!$G16,0)))</f>
        <v>58078</v>
      </c>
      <c r="C18" s="26" t="n">
        <f aca="false">IF(C$9&lt;='Rent roll'!$E16,'Rent roll'!$C16,IF(C$9='Rent roll'!$F16,'Rent roll'!$G16*LetFrac,IF(C$9&gt;'Rent roll'!$F16,'Rent roll'!$G16,0)))</f>
        <v>232312</v>
      </c>
      <c r="D18" s="26" t="n">
        <f aca="false">IF(D$9&lt;='Rent roll'!$E16,'Rent roll'!$C16,IF(D$9='Rent roll'!$F16,'Rent roll'!$G16*LetFrac,IF(D$9&gt;'Rent roll'!$F16,'Rent roll'!$G16,0)))</f>
        <v>232312</v>
      </c>
      <c r="E18" s="26" t="n">
        <f aca="false">IF(E$9&lt;='Rent roll'!$E16,'Rent roll'!$C16,IF(E$9='Rent roll'!$F16,'Rent roll'!$G16*LetFrac,IF(E$9&gt;'Rent roll'!$F16,'Rent roll'!$G16,0)))</f>
        <v>232312</v>
      </c>
      <c r="F18" s="26" t="n">
        <f aca="false">IF(F$9&lt;='Rent roll'!$E16,'Rent roll'!$C16,IF(F$9='Rent roll'!$F16,'Rent roll'!$G16*LetFrac,IF(F$9&gt;'Rent roll'!$F16,'Rent roll'!$G16,0)))</f>
        <v>232312</v>
      </c>
      <c r="G18" s="26" t="n">
        <f aca="false">IF(G$9&lt;='Rent roll'!$E16,'Rent roll'!$C16,IF(G$9='Rent roll'!$F16,'Rent roll'!$G16*LetFrac,IF(G$9&gt;'Rent roll'!$F16,'Rent roll'!$G16,0)))</f>
        <v>232312</v>
      </c>
      <c r="H18" s="26" t="n">
        <f aca="false">IF(H$9&lt;='Rent roll'!$E16,'Rent roll'!$C16,IF(H$9='Rent roll'!$F16,'Rent roll'!$G16*LetFrac,IF(H$9&gt;'Rent roll'!$F16,'Rent roll'!$G16,0)))</f>
        <v>232312</v>
      </c>
      <c r="I18" s="26" t="n">
        <f aca="false">IF(I$9&lt;='Rent roll'!$E16,'Rent roll'!$C16,IF(I$9='Rent roll'!$F16,'Rent roll'!$G16*LetFrac,IF(I$9&gt;'Rent roll'!$F16,'Rent roll'!$G16,0)))</f>
        <v>232312</v>
      </c>
      <c r="J18" s="26" t="n">
        <f aca="false">IF(J$9&lt;='Rent roll'!$E16,'Rent roll'!$C16,IF(J$9='Rent roll'!$F16,'Rent roll'!$G16*LetFrac,IF(J$9&gt;'Rent roll'!$F16,'Rent roll'!$G16,0)))</f>
        <v>232312</v>
      </c>
      <c r="K18" s="26" t="n">
        <f aca="false">IF(K$9&lt;='Rent roll'!$E16,'Rent roll'!$C16,IF(K$9='Rent roll'!$F16,'Rent roll'!$G16*LetFrac,IF(K$9&gt;'Rent roll'!$F16,'Rent roll'!$G16,0)))</f>
        <v>232312</v>
      </c>
      <c r="L18" s="26" t="n">
        <f aca="false">IF(L$9&lt;='Rent roll'!$E16,'Rent roll'!$C16,IF(L$9='Rent roll'!$F16,'Rent roll'!$G16*LetFrac,IF(L$9&gt;'Rent roll'!$F16,'Rent roll'!$G16,0)))</f>
        <v>232312</v>
      </c>
    </row>
    <row r="19" customFormat="false" ht="15" hidden="false" customHeight="false" outlineLevel="0" collapsed="false">
      <c r="A19" s="7" t="str">
        <f aca="false">'Rent roll'!A17</f>
        <v>Unit 12 (empty at acquisition)</v>
      </c>
      <c r="B19" s="26" t="n">
        <f aca="false">IF(B$9&lt;='Rent roll'!$E17,'Rent roll'!$C17,IF(B$9='Rent roll'!$F17,'Rent roll'!$G17*LetFrac,IF(B$9&gt;'Rent roll'!$F17,'Rent roll'!$G17,0)))</f>
        <v>64417.5</v>
      </c>
      <c r="C19" s="26" t="n">
        <f aca="false">IF(C$9&lt;='Rent roll'!$E17,'Rent roll'!$C17,IF(C$9='Rent roll'!$F17,'Rent roll'!$G17*LetFrac,IF(C$9&gt;'Rent roll'!$F17,'Rent roll'!$G17,0)))</f>
        <v>257670</v>
      </c>
      <c r="D19" s="26" t="n">
        <f aca="false">IF(D$9&lt;='Rent roll'!$E17,'Rent roll'!$C17,IF(D$9='Rent roll'!$F17,'Rent roll'!$G17*LetFrac,IF(D$9&gt;'Rent roll'!$F17,'Rent roll'!$G17,0)))</f>
        <v>257670</v>
      </c>
      <c r="E19" s="26" t="n">
        <f aca="false">IF(E$9&lt;='Rent roll'!$E17,'Rent roll'!$C17,IF(E$9='Rent roll'!$F17,'Rent roll'!$G17*LetFrac,IF(E$9&gt;'Rent roll'!$F17,'Rent roll'!$G17,0)))</f>
        <v>257670</v>
      </c>
      <c r="F19" s="26" t="n">
        <f aca="false">IF(F$9&lt;='Rent roll'!$E17,'Rent roll'!$C17,IF(F$9='Rent roll'!$F17,'Rent roll'!$G17*LetFrac,IF(F$9&gt;'Rent roll'!$F17,'Rent roll'!$G17,0)))</f>
        <v>257670</v>
      </c>
      <c r="G19" s="26" t="n">
        <f aca="false">IF(G$9&lt;='Rent roll'!$E17,'Rent roll'!$C17,IF(G$9='Rent roll'!$F17,'Rent roll'!$G17*LetFrac,IF(G$9&gt;'Rent roll'!$F17,'Rent roll'!$G17,0)))</f>
        <v>257670</v>
      </c>
      <c r="H19" s="26" t="n">
        <f aca="false">IF(H$9&lt;='Rent roll'!$E17,'Rent roll'!$C17,IF(H$9='Rent roll'!$F17,'Rent roll'!$G17*LetFrac,IF(H$9&gt;'Rent roll'!$F17,'Rent roll'!$G17,0)))</f>
        <v>257670</v>
      </c>
      <c r="I19" s="26" t="n">
        <f aca="false">IF(I$9&lt;='Rent roll'!$E17,'Rent roll'!$C17,IF(I$9='Rent roll'!$F17,'Rent roll'!$G17*LetFrac,IF(I$9&gt;'Rent roll'!$F17,'Rent roll'!$G17,0)))</f>
        <v>257670</v>
      </c>
      <c r="J19" s="26" t="n">
        <f aca="false">IF(J$9&lt;='Rent roll'!$E17,'Rent roll'!$C17,IF(J$9='Rent roll'!$F17,'Rent roll'!$G17*LetFrac,IF(J$9&gt;'Rent roll'!$F17,'Rent roll'!$G17,0)))</f>
        <v>257670</v>
      </c>
      <c r="K19" s="26" t="n">
        <f aca="false">IF(K$9&lt;='Rent roll'!$E17,'Rent roll'!$C17,IF(K$9='Rent roll'!$F17,'Rent roll'!$G17*LetFrac,IF(K$9&gt;'Rent roll'!$F17,'Rent roll'!$G17,0)))</f>
        <v>257670</v>
      </c>
      <c r="L19" s="26" t="n">
        <f aca="false">IF(L$9&lt;='Rent roll'!$E17,'Rent roll'!$C17,IF(L$9='Rent roll'!$F17,'Rent roll'!$G17*LetFrac,IF(L$9&gt;'Rent roll'!$F17,'Rent roll'!$G17,0)))</f>
        <v>257670</v>
      </c>
    </row>
    <row r="20" customFormat="false" ht="15" hidden="false" customHeight="false" outlineLevel="0" collapsed="false">
      <c r="A20" s="11" t="s">
        <v>97</v>
      </c>
      <c r="B20" s="12" t="n">
        <f aca="false">SUM(B10:B19)</f>
        <v>1698395.5</v>
      </c>
      <c r="C20" s="12" t="n">
        <f aca="false">SUM(C10:C19)</f>
        <v>2065882</v>
      </c>
      <c r="D20" s="12" t="n">
        <f aca="false">SUM(D10:D19)</f>
        <v>1989265.845</v>
      </c>
      <c r="E20" s="12" t="n">
        <f aca="false">SUM(E10:E19)</f>
        <v>1939484.5671375</v>
      </c>
      <c r="F20" s="12" t="n">
        <f aca="false">SUM(F10:F19)</f>
        <v>2131366.92813113</v>
      </c>
      <c r="G20" s="12" t="n">
        <f aca="false">SUM(G10:G19)</f>
        <v>2100975.6380119</v>
      </c>
      <c r="H20" s="12" t="n">
        <f aca="false">SUM(H10:H19)</f>
        <v>2276674.5714241</v>
      </c>
      <c r="I20" s="12" t="n">
        <f aca="false">SUM(I10:I19)</f>
        <v>1951410.48718809</v>
      </c>
      <c r="J20" s="12" t="n">
        <f aca="false">SUM(J10:J19)</f>
        <v>2330905.91171051</v>
      </c>
      <c r="K20" s="12" t="n">
        <f aca="false">SUM(K10:K19)</f>
        <v>2273213.43707028</v>
      </c>
      <c r="L20" s="12" t="n">
        <f aca="false">SUM(L10:L19)</f>
        <v>2513646.91807541</v>
      </c>
    </row>
    <row r="22" customFormat="false" ht="15" hidden="false" customHeight="false" outlineLevel="0" collapsed="false">
      <c r="A22" s="4" t="s">
        <v>98</v>
      </c>
      <c r="B22" s="6"/>
      <c r="C22" s="6"/>
      <c r="D22" s="6"/>
      <c r="E22" s="6"/>
      <c r="F22" s="6"/>
      <c r="G22" s="6"/>
      <c r="H22" s="6"/>
      <c r="I22" s="6"/>
      <c r="J22" s="6"/>
      <c r="K22" s="6"/>
      <c r="L22" s="6"/>
    </row>
    <row r="24" customFormat="false" ht="15" hidden="false" customHeight="false" outlineLevel="0" collapsed="false">
      <c r="A24" s="0" t="str">
        <f aca="false">'Rent roll'!A8</f>
        <v>Ardgour Logistics</v>
      </c>
      <c r="B24" s="26" t="n">
        <f aca="false">IF(B$9='Rent roll'!$F8,'Rent roll'!$H8,0)</f>
        <v>0</v>
      </c>
      <c r="C24" s="26" t="n">
        <f aca="false">IF(C$9='Rent roll'!$F8,'Rent roll'!$H8,0)</f>
        <v>0</v>
      </c>
      <c r="D24" s="26" t="n">
        <f aca="false">IF(D$9='Rent roll'!$F8,'Rent roll'!$H8,0)</f>
        <v>0</v>
      </c>
      <c r="E24" s="26" t="n">
        <f aca="false">IF(E$9='Rent roll'!$F8,'Rent roll'!$H8,0)</f>
        <v>0</v>
      </c>
      <c r="F24" s="26" t="n">
        <f aca="false">IF(F$9='Rent roll'!$F8,'Rent roll'!$H8,0)</f>
        <v>0</v>
      </c>
      <c r="G24" s="26" t="n">
        <f aca="false">IF(G$9='Rent roll'!$F8,'Rent roll'!$H8,0)</f>
        <v>0</v>
      </c>
      <c r="H24" s="26" t="n">
        <f aca="false">IF(H$9='Rent roll'!$F8,'Rent roll'!$H8,0)</f>
        <v>0</v>
      </c>
      <c r="I24" s="26" t="n">
        <f aca="false">IF(I$9='Rent roll'!$F8,'Rent roll'!$H8,0)</f>
        <v>88341.5494583934</v>
      </c>
      <c r="J24" s="26" t="n">
        <f aca="false">IF(J$9='Rent roll'!$F8,'Rent roll'!$H8,0)</f>
        <v>0</v>
      </c>
      <c r="K24" s="26" t="n">
        <f aca="false">IF(K$9='Rent roll'!$F8,'Rent roll'!$H8,0)</f>
        <v>0</v>
      </c>
      <c r="L24" s="26" t="n">
        <f aca="false">IF(L$9='Rent roll'!$F8,'Rent roll'!$H8,0)</f>
        <v>0</v>
      </c>
    </row>
    <row r="25" customFormat="false" ht="15" hidden="false" customHeight="false" outlineLevel="0" collapsed="false">
      <c r="A25" s="0" t="str">
        <f aca="false">'Rent roll'!A9</f>
        <v>Kilmory Print</v>
      </c>
      <c r="B25" s="26" t="n">
        <f aca="false">IF(B$9='Rent roll'!$F9,'Rent roll'!$H9,0)</f>
        <v>0</v>
      </c>
      <c r="C25" s="26" t="n">
        <f aca="false">IF(C$9='Rent roll'!$F9,'Rent roll'!$H9,0)</f>
        <v>0</v>
      </c>
      <c r="D25" s="26" t="n">
        <f aca="false">IF(D$9='Rent roll'!$F9,'Rent roll'!$H9,0)</f>
        <v>0</v>
      </c>
      <c r="E25" s="26" t="n">
        <f aca="false">IF(E$9='Rent roll'!$F9,'Rent roll'!$H9,0)</f>
        <v>50800.3122825</v>
      </c>
      <c r="F25" s="26" t="n">
        <f aca="false">IF(F$9='Rent roll'!$F9,'Rent roll'!$H9,0)</f>
        <v>0</v>
      </c>
      <c r="G25" s="26" t="n">
        <f aca="false">IF(G$9='Rent roll'!$F9,'Rent roll'!$H9,0)</f>
        <v>0</v>
      </c>
      <c r="H25" s="26" t="n">
        <f aca="false">IF(H$9='Rent roll'!$F9,'Rent roll'!$H9,0)</f>
        <v>0</v>
      </c>
      <c r="I25" s="26" t="n">
        <f aca="false">IF(I$9='Rent roll'!$F9,'Rent roll'!$H9,0)</f>
        <v>0</v>
      </c>
      <c r="J25" s="26" t="n">
        <f aca="false">IF(J$9='Rent roll'!$F9,'Rent roll'!$H9,0)</f>
        <v>0</v>
      </c>
      <c r="K25" s="26" t="n">
        <f aca="false">IF(K$9='Rent roll'!$F9,'Rent roll'!$H9,0)</f>
        <v>0</v>
      </c>
      <c r="L25" s="26" t="n">
        <f aca="false">IF(L$9='Rent roll'!$F9,'Rent roll'!$H9,0)</f>
        <v>0</v>
      </c>
    </row>
    <row r="26" customFormat="false" ht="15" hidden="false" customHeight="false" outlineLevel="0" collapsed="false">
      <c r="A26" s="0" t="str">
        <f aca="false">'Rent roll'!A10</f>
        <v>Tannoch Foods</v>
      </c>
      <c r="B26" s="26" t="n">
        <f aca="false">IF(B$9='Rent roll'!$F10,'Rent roll'!$H10,0)</f>
        <v>0</v>
      </c>
      <c r="C26" s="26" t="n">
        <f aca="false">IF(C$9='Rent roll'!$F10,'Rent roll'!$H10,0)</f>
        <v>0</v>
      </c>
      <c r="D26" s="26" t="n">
        <f aca="false">IF(D$9='Rent roll'!$F10,'Rent roll'!$H10,0)</f>
        <v>0</v>
      </c>
      <c r="E26" s="26" t="n">
        <f aca="false">IF(E$9='Rent roll'!$F10,'Rent roll'!$H10,0)</f>
        <v>0</v>
      </c>
      <c r="F26" s="26" t="n">
        <f aca="false">IF(F$9='Rent roll'!$F10,'Rent roll'!$H10,0)</f>
        <v>0</v>
      </c>
      <c r="G26" s="26" t="n">
        <f aca="false">IF(G$9='Rent roll'!$F10,'Rent roll'!$H10,0)</f>
        <v>0</v>
      </c>
      <c r="H26" s="26" t="n">
        <f aca="false">IF(H$9='Rent roll'!$F10,'Rent roll'!$H10,0)</f>
        <v>0</v>
      </c>
      <c r="I26" s="26" t="n">
        <f aca="false">IF(I$9='Rent roll'!$F10,'Rent roll'!$H10,0)</f>
        <v>0</v>
      </c>
      <c r="J26" s="26" t="n">
        <f aca="false">IF(J$9='Rent roll'!$F10,'Rent roll'!$H10,0)</f>
        <v>0</v>
      </c>
      <c r="K26" s="26" t="n">
        <f aca="false">IF(K$9='Rent roll'!$F10,'Rent roll'!$H10,0)</f>
        <v>48086.6962010262</v>
      </c>
      <c r="L26" s="26" t="n">
        <f aca="false">IF(L$9='Rent roll'!$F10,'Rent roll'!$H10,0)</f>
        <v>0</v>
      </c>
    </row>
    <row r="27" customFormat="false" ht="15" hidden="false" customHeight="false" outlineLevel="0" collapsed="false">
      <c r="A27" s="0" t="str">
        <f aca="false">'Rent roll'!A11</f>
        <v>Struan Instruments</v>
      </c>
      <c r="B27" s="26" t="n">
        <f aca="false">IF(B$9='Rent roll'!$F11,'Rent roll'!$H11,0)</f>
        <v>0</v>
      </c>
      <c r="C27" s="26" t="n">
        <f aca="false">IF(C$9='Rent roll'!$F11,'Rent roll'!$H11,0)</f>
        <v>0</v>
      </c>
      <c r="D27" s="26" t="n">
        <f aca="false">IF(D$9='Rent roll'!$F11,'Rent roll'!$H11,0)</f>
        <v>0</v>
      </c>
      <c r="E27" s="26" t="n">
        <f aca="false">IF(E$9='Rent roll'!$F11,'Rent roll'!$H11,0)</f>
        <v>0</v>
      </c>
      <c r="F27" s="26" t="n">
        <f aca="false">IF(F$9='Rent roll'!$F11,'Rent roll'!$H11,0)</f>
        <v>0</v>
      </c>
      <c r="G27" s="26" t="n">
        <f aca="false">IF(G$9='Rent roll'!$F11,'Rent roll'!$H11,0)</f>
        <v>35139.7866824395</v>
      </c>
      <c r="H27" s="26" t="n">
        <f aca="false">IF(H$9='Rent roll'!$F11,'Rent roll'!$H11,0)</f>
        <v>0</v>
      </c>
      <c r="I27" s="26" t="n">
        <f aca="false">IF(I$9='Rent roll'!$F11,'Rent roll'!$H11,0)</f>
        <v>0</v>
      </c>
      <c r="J27" s="26" t="n">
        <f aca="false">IF(J$9='Rent roll'!$F11,'Rent roll'!$H11,0)</f>
        <v>0</v>
      </c>
      <c r="K27" s="26" t="n">
        <f aca="false">IF(K$9='Rent roll'!$F11,'Rent roll'!$H11,0)</f>
        <v>0</v>
      </c>
      <c r="L27" s="26" t="n">
        <f aca="false">IF(L$9='Rent roll'!$F11,'Rent roll'!$H11,0)</f>
        <v>0</v>
      </c>
    </row>
    <row r="28" customFormat="false" ht="15" hidden="false" customHeight="false" outlineLevel="0" collapsed="false">
      <c r="A28" s="0" t="str">
        <f aca="false">'Rent roll'!A12</f>
        <v>Balvaig Textiles</v>
      </c>
      <c r="B28" s="26" t="n">
        <f aca="false">IF(B$9='Rent roll'!$F12,'Rent roll'!$H12,0)</f>
        <v>0</v>
      </c>
      <c r="C28" s="26" t="n">
        <f aca="false">IF(C$9='Rent roll'!$F12,'Rent roll'!$H12,0)</f>
        <v>0</v>
      </c>
      <c r="D28" s="26" t="n">
        <f aca="false">IF(D$9='Rent roll'!$F12,'Rent roll'!$H12,0)</f>
        <v>24590.307</v>
      </c>
      <c r="E28" s="26" t="n">
        <f aca="false">IF(E$9='Rent roll'!$F12,'Rent roll'!$H12,0)</f>
        <v>0</v>
      </c>
      <c r="F28" s="26" t="n">
        <f aca="false">IF(F$9='Rent roll'!$F12,'Rent roll'!$H12,0)</f>
        <v>0</v>
      </c>
      <c r="G28" s="26" t="n">
        <f aca="false">IF(G$9='Rent roll'!$F12,'Rent roll'!$H12,0)</f>
        <v>0</v>
      </c>
      <c r="H28" s="26" t="n">
        <f aca="false">IF(H$9='Rent roll'!$F12,'Rent roll'!$H12,0)</f>
        <v>0</v>
      </c>
      <c r="I28" s="26" t="n">
        <f aca="false">IF(I$9='Rent roll'!$F12,'Rent roll'!$H12,0)</f>
        <v>0</v>
      </c>
      <c r="J28" s="26" t="n">
        <f aca="false">IF(J$9='Rent roll'!$F12,'Rent roll'!$H12,0)</f>
        <v>0</v>
      </c>
      <c r="K28" s="26" t="n">
        <f aca="false">IF(K$9='Rent roll'!$F12,'Rent roll'!$H12,0)</f>
        <v>0</v>
      </c>
      <c r="L28" s="26" t="n">
        <f aca="false">IF(L$9='Rent roll'!$F12,'Rent roll'!$H12,0)</f>
        <v>0</v>
      </c>
    </row>
    <row r="29" customFormat="false" ht="15" hidden="false" customHeight="false" outlineLevel="0" collapsed="false">
      <c r="A29" s="0" t="str">
        <f aca="false">'Rent roll'!A13</f>
        <v>Corrour Systems</v>
      </c>
      <c r="B29" s="26" t="n">
        <f aca="false">IF(B$9='Rent roll'!$F13,'Rent roll'!$H13,0)</f>
        <v>0</v>
      </c>
      <c r="C29" s="26" t="n">
        <f aca="false">IF(C$9='Rent roll'!$F13,'Rent roll'!$H13,0)</f>
        <v>0</v>
      </c>
      <c r="D29" s="26" t="n">
        <f aca="false">IF(D$9='Rent roll'!$F13,'Rent roll'!$H13,0)</f>
        <v>0</v>
      </c>
      <c r="E29" s="26" t="n">
        <f aca="false">IF(E$9='Rent roll'!$F13,'Rent roll'!$H13,0)</f>
        <v>0</v>
      </c>
      <c r="F29" s="26" t="n">
        <f aca="false">IF(F$9='Rent roll'!$F13,'Rent roll'!$H13,0)</f>
        <v>0</v>
      </c>
      <c r="G29" s="26" t="n">
        <f aca="false">IF(G$9='Rent roll'!$F13,'Rent roll'!$H13,0)</f>
        <v>0</v>
      </c>
      <c r="H29" s="26" t="n">
        <f aca="false">IF(H$9='Rent roll'!$F13,'Rent roll'!$H13,0)</f>
        <v>0</v>
      </c>
      <c r="I29" s="26" t="n">
        <f aca="false">IF(I$9='Rent roll'!$F13,'Rent roll'!$H13,0)</f>
        <v>0</v>
      </c>
      <c r="J29" s="26" t="n">
        <f aca="false">IF(J$9='Rent roll'!$F13,'Rent roll'!$H13,0)</f>
        <v>0</v>
      </c>
      <c r="K29" s="26" t="n">
        <f aca="false">IF(K$9='Rent roll'!$F13,'Rent roll'!$H13,0)</f>
        <v>0</v>
      </c>
      <c r="L29" s="26" t="n">
        <f aca="false">IF(L$9='Rent roll'!$F13,'Rent roll'!$H13,0)</f>
        <v>0</v>
      </c>
    </row>
    <row r="30" customFormat="false" ht="15" hidden="false" customHeight="false" outlineLevel="0" collapsed="false">
      <c r="A30" s="0" t="str">
        <f aca="false">'Rent roll'!A14</f>
        <v>Dunardry Media</v>
      </c>
      <c r="B30" s="26" t="n">
        <f aca="false">IF(B$9='Rent roll'!$F14,'Rent roll'!$H14,0)</f>
        <v>0</v>
      </c>
      <c r="C30" s="26" t="n">
        <f aca="false">IF(C$9='Rent roll'!$F14,'Rent roll'!$H14,0)</f>
        <v>0</v>
      </c>
      <c r="D30" s="26" t="n">
        <f aca="false">IF(D$9='Rent roll'!$F14,'Rent roll'!$H14,0)</f>
        <v>0</v>
      </c>
      <c r="E30" s="26" t="n">
        <f aca="false">IF(E$9='Rent roll'!$F14,'Rent roll'!$H14,0)</f>
        <v>0</v>
      </c>
      <c r="F30" s="26" t="n">
        <f aca="false">IF(F$9='Rent roll'!$F14,'Rent roll'!$H14,0)</f>
        <v>18888.479748675</v>
      </c>
      <c r="G30" s="26" t="n">
        <f aca="false">IF(G$9='Rent roll'!$F14,'Rent roll'!$H14,0)</f>
        <v>0</v>
      </c>
      <c r="H30" s="26" t="n">
        <f aca="false">IF(H$9='Rent roll'!$F14,'Rent roll'!$H14,0)</f>
        <v>0</v>
      </c>
      <c r="I30" s="26" t="n">
        <f aca="false">IF(I$9='Rent roll'!$F14,'Rent roll'!$H14,0)</f>
        <v>0</v>
      </c>
      <c r="J30" s="26" t="n">
        <f aca="false">IF(J$9='Rent roll'!$F14,'Rent roll'!$H14,0)</f>
        <v>0</v>
      </c>
      <c r="K30" s="26" t="n">
        <f aca="false">IF(K$9='Rent roll'!$F14,'Rent roll'!$H14,0)</f>
        <v>0</v>
      </c>
      <c r="L30" s="26" t="n">
        <f aca="false">IF(L$9='Rent roll'!$F14,'Rent roll'!$H14,0)</f>
        <v>0</v>
      </c>
    </row>
    <row r="31" customFormat="false" ht="15" hidden="false" customHeight="false" outlineLevel="0" collapsed="false">
      <c r="A31" s="0" t="str">
        <f aca="false">'Rent roll'!A15</f>
        <v>Eilanreach Labs</v>
      </c>
      <c r="B31" s="26" t="n">
        <f aca="false">IF(B$9='Rent roll'!$F15,'Rent roll'!$H15,0)</f>
        <v>0</v>
      </c>
      <c r="C31" s="26" t="n">
        <f aca="false">IF(C$9='Rent roll'!$F15,'Rent roll'!$H15,0)</f>
        <v>0</v>
      </c>
      <c r="D31" s="26" t="n">
        <f aca="false">IF(D$9='Rent roll'!$F15,'Rent roll'!$H15,0)</f>
        <v>0</v>
      </c>
      <c r="E31" s="26" t="n">
        <f aca="false">IF(E$9='Rent roll'!$F15,'Rent roll'!$H15,0)</f>
        <v>0</v>
      </c>
      <c r="F31" s="26" t="n">
        <f aca="false">IF(F$9='Rent roll'!$F15,'Rent roll'!$H15,0)</f>
        <v>0</v>
      </c>
      <c r="G31" s="26" t="n">
        <f aca="false">IF(G$9='Rent roll'!$F15,'Rent roll'!$H15,0)</f>
        <v>0</v>
      </c>
      <c r="H31" s="26" t="n">
        <f aca="false">IF(H$9='Rent roll'!$F15,'Rent roll'!$H15,0)</f>
        <v>0</v>
      </c>
      <c r="I31" s="26" t="n">
        <f aca="false">IF(I$9='Rent roll'!$F15,'Rent roll'!$H15,0)</f>
        <v>0</v>
      </c>
      <c r="J31" s="26" t="n">
        <f aca="false">IF(J$9='Rent roll'!$F15,'Rent roll'!$H15,0)</f>
        <v>18352.606338277</v>
      </c>
      <c r="K31" s="26" t="n">
        <f aca="false">IF(K$9='Rent roll'!$F15,'Rent roll'!$H15,0)</f>
        <v>0</v>
      </c>
      <c r="L31" s="26" t="n">
        <f aca="false">IF(L$9='Rent roll'!$F15,'Rent roll'!$H15,0)</f>
        <v>0</v>
      </c>
    </row>
    <row r="32" customFormat="false" ht="15" hidden="false" customHeight="false" outlineLevel="0" collapsed="false">
      <c r="A32" s="0" t="str">
        <f aca="false">'Rent roll'!A16</f>
        <v>Unit 9 (empty at acquisition)</v>
      </c>
      <c r="B32" s="26" t="n">
        <f aca="false">IF(B$9='Rent roll'!$F16,'Rent roll'!$H16,0)</f>
        <v>34846.8</v>
      </c>
      <c r="C32" s="26" t="n">
        <f aca="false">IF(C$9='Rent roll'!$F16,'Rent roll'!$H16,0)</f>
        <v>0</v>
      </c>
      <c r="D32" s="26" t="n">
        <f aca="false">IF(D$9='Rent roll'!$F16,'Rent roll'!$H16,0)</f>
        <v>0</v>
      </c>
      <c r="E32" s="26" t="n">
        <f aca="false">IF(E$9='Rent roll'!$F16,'Rent roll'!$H16,0)</f>
        <v>0</v>
      </c>
      <c r="F32" s="26" t="n">
        <f aca="false">IF(F$9='Rent roll'!$F16,'Rent roll'!$H16,0)</f>
        <v>0</v>
      </c>
      <c r="G32" s="26" t="n">
        <f aca="false">IF(G$9='Rent roll'!$F16,'Rent roll'!$H16,0)</f>
        <v>0</v>
      </c>
      <c r="H32" s="26" t="n">
        <f aca="false">IF(H$9='Rent roll'!$F16,'Rent roll'!$H16,0)</f>
        <v>0</v>
      </c>
      <c r="I32" s="26" t="n">
        <f aca="false">IF(I$9='Rent roll'!$F16,'Rent roll'!$H16,0)</f>
        <v>0</v>
      </c>
      <c r="J32" s="26" t="n">
        <f aca="false">IF(J$9='Rent roll'!$F16,'Rent roll'!$H16,0)</f>
        <v>0</v>
      </c>
      <c r="K32" s="26" t="n">
        <f aca="false">IF(K$9='Rent roll'!$F16,'Rent roll'!$H16,0)</f>
        <v>0</v>
      </c>
      <c r="L32" s="26" t="n">
        <f aca="false">IF(L$9='Rent roll'!$F16,'Rent roll'!$H16,0)</f>
        <v>0</v>
      </c>
    </row>
    <row r="33" customFormat="false" ht="15" hidden="false" customHeight="false" outlineLevel="0" collapsed="false">
      <c r="A33" s="0" t="str">
        <f aca="false">'Rent roll'!A17</f>
        <v>Unit 12 (empty at acquisition)</v>
      </c>
      <c r="B33" s="26" t="n">
        <f aca="false">IF(B$9='Rent roll'!$F17,'Rent roll'!$H17,0)</f>
        <v>38650.5</v>
      </c>
      <c r="C33" s="26" t="n">
        <f aca="false">IF(C$9='Rent roll'!$F17,'Rent roll'!$H17,0)</f>
        <v>0</v>
      </c>
      <c r="D33" s="26" t="n">
        <f aca="false">IF(D$9='Rent roll'!$F17,'Rent roll'!$H17,0)</f>
        <v>0</v>
      </c>
      <c r="E33" s="26" t="n">
        <f aca="false">IF(E$9='Rent roll'!$F17,'Rent roll'!$H17,0)</f>
        <v>0</v>
      </c>
      <c r="F33" s="26" t="n">
        <f aca="false">IF(F$9='Rent roll'!$F17,'Rent roll'!$H17,0)</f>
        <v>0</v>
      </c>
      <c r="G33" s="26" t="n">
        <f aca="false">IF(G$9='Rent roll'!$F17,'Rent roll'!$H17,0)</f>
        <v>0</v>
      </c>
      <c r="H33" s="26" t="n">
        <f aca="false">IF(H$9='Rent roll'!$F17,'Rent roll'!$H17,0)</f>
        <v>0</v>
      </c>
      <c r="I33" s="26" t="n">
        <f aca="false">IF(I$9='Rent roll'!$F17,'Rent roll'!$H17,0)</f>
        <v>0</v>
      </c>
      <c r="J33" s="26" t="n">
        <f aca="false">IF(J$9='Rent roll'!$F17,'Rent roll'!$H17,0)</f>
        <v>0</v>
      </c>
      <c r="K33" s="26" t="n">
        <f aca="false">IF(K$9='Rent roll'!$F17,'Rent roll'!$H17,0)</f>
        <v>0</v>
      </c>
      <c r="L33" s="26" t="n">
        <f aca="false">IF(L$9='Rent roll'!$F17,'Rent roll'!$H17,0)</f>
        <v>0</v>
      </c>
    </row>
    <row r="34" customFormat="false" ht="15" hidden="false" customHeight="false" outlineLevel="0" collapsed="false">
      <c r="A34" s="11" t="s">
        <v>99</v>
      </c>
      <c r="B34" s="12" t="n">
        <f aca="false">SUM(B24:B33)</f>
        <v>73497.3</v>
      </c>
      <c r="C34" s="12" t="n">
        <f aca="false">SUM(C24:C33)</f>
        <v>0</v>
      </c>
      <c r="D34" s="12" t="n">
        <f aca="false">SUM(D24:D33)</f>
        <v>24590.307</v>
      </c>
      <c r="E34" s="12" t="n">
        <f aca="false">SUM(E24:E33)</f>
        <v>50800.3122825</v>
      </c>
      <c r="F34" s="12" t="n">
        <f aca="false">SUM(F24:F33)</f>
        <v>18888.479748675</v>
      </c>
      <c r="G34" s="12" t="n">
        <f aca="false">SUM(G24:G33)</f>
        <v>35139.7866824395</v>
      </c>
      <c r="H34" s="12" t="n">
        <f aca="false">SUM(H24:H33)</f>
        <v>0</v>
      </c>
      <c r="I34" s="12" t="n">
        <f aca="false">SUM(I24:I33)</f>
        <v>88341.5494583934</v>
      </c>
      <c r="J34" s="12" t="n">
        <f aca="false">SUM(J24:J33)</f>
        <v>18352.606338277</v>
      </c>
      <c r="K34" s="12" t="n">
        <f aca="false">SUM(K24:K33)</f>
        <v>48086.6962010262</v>
      </c>
      <c r="L34" s="12" t="n">
        <f aca="false">SUM(L24:L33)</f>
        <v>0</v>
      </c>
    </row>
    <row r="35" customFormat="false" ht="15" hidden="false" customHeight="false" outlineLevel="0" collapsed="false">
      <c r="A35" s="11" t="s">
        <v>100</v>
      </c>
      <c r="B35" s="12" t="n">
        <f aca="false">SUM(B34:L34)</f>
        <v>357697.037711311</v>
      </c>
    </row>
    <row r="37" customFormat="false" ht="15" hidden="false" customHeight="false" outlineLevel="0" collapsed="false">
      <c r="A37" s="4" t="s">
        <v>101</v>
      </c>
      <c r="B37" s="6"/>
      <c r="C37" s="6"/>
      <c r="D37" s="6"/>
      <c r="E37" s="6"/>
      <c r="F37" s="6"/>
      <c r="G37" s="6"/>
      <c r="H37" s="6"/>
      <c r="I37" s="6"/>
      <c r="J37" s="6"/>
      <c r="K37" s="6"/>
      <c r="L37" s="6"/>
    </row>
    <row r="39" customFormat="false" ht="15" hidden="false" customHeight="false" outlineLevel="0" collapsed="false">
      <c r="A39" s="24" t="s">
        <v>55</v>
      </c>
      <c r="B39" s="25" t="n">
        <v>1</v>
      </c>
      <c r="C39" s="25" t="n">
        <f aca="false">B39+1</f>
        <v>2</v>
      </c>
      <c r="D39" s="25" t="n">
        <f aca="false">C39+1</f>
        <v>3</v>
      </c>
      <c r="E39" s="25" t="n">
        <f aca="false">D39+1</f>
        <v>4</v>
      </c>
      <c r="F39" s="25" t="n">
        <f aca="false">E39+1</f>
        <v>5</v>
      </c>
      <c r="G39" s="25" t="n">
        <f aca="false">F39+1</f>
        <v>6</v>
      </c>
      <c r="H39" s="25" t="n">
        <f aca="false">G39+1</f>
        <v>7</v>
      </c>
      <c r="I39" s="25" t="n">
        <f aca="false">H39+1</f>
        <v>8</v>
      </c>
      <c r="J39" s="25" t="n">
        <f aca="false">I39+1</f>
        <v>9</v>
      </c>
      <c r="K39" s="25" t="n">
        <f aca="false">J39+1</f>
        <v>10</v>
      </c>
      <c r="L39" s="25" t="n">
        <f aca="false">K39+1</f>
        <v>11</v>
      </c>
    </row>
    <row r="40" customFormat="false" ht="15" hidden="false" customHeight="false" outlineLevel="0" collapsed="false">
      <c r="A40" s="7" t="s">
        <v>102</v>
      </c>
      <c r="B40" s="26" t="n">
        <f aca="false">B20</f>
        <v>1698395.5</v>
      </c>
      <c r="C40" s="26" t="n">
        <f aca="false">C20</f>
        <v>2065882</v>
      </c>
      <c r="D40" s="26" t="n">
        <f aca="false">D20</f>
        <v>1989265.845</v>
      </c>
      <c r="E40" s="26" t="n">
        <f aca="false">E20</f>
        <v>1939484.5671375</v>
      </c>
      <c r="F40" s="26" t="n">
        <f aca="false">F20</f>
        <v>2131366.92813113</v>
      </c>
      <c r="G40" s="26" t="n">
        <f aca="false">G20</f>
        <v>2100975.6380119</v>
      </c>
      <c r="H40" s="26" t="n">
        <f aca="false">H20</f>
        <v>2276674.5714241</v>
      </c>
      <c r="I40" s="26" t="n">
        <f aca="false">I20</f>
        <v>1951410.48718809</v>
      </c>
      <c r="J40" s="26" t="n">
        <f aca="false">J20</f>
        <v>2330905.91171051</v>
      </c>
      <c r="K40" s="26" t="n">
        <f aca="false">K20</f>
        <v>2273213.43707028</v>
      </c>
      <c r="L40" s="26" t="n">
        <f aca="false">L20</f>
        <v>2513646.91807541</v>
      </c>
    </row>
    <row r="41" customFormat="false" ht="15" hidden="false" customHeight="false" outlineLevel="0" collapsed="false">
      <c r="A41" s="7" t="s">
        <v>103</v>
      </c>
      <c r="B41" s="26" t="n">
        <f aca="false">B20*NonRec</f>
        <v>28023.52575</v>
      </c>
      <c r="C41" s="26" t="n">
        <f aca="false">C20*NonRec</f>
        <v>34087.053</v>
      </c>
      <c r="D41" s="26" t="n">
        <f aca="false">D20*NonRec</f>
        <v>32822.8864425</v>
      </c>
      <c r="E41" s="26" t="n">
        <f aca="false">E20*NonRec</f>
        <v>32001.4953577688</v>
      </c>
      <c r="F41" s="26" t="n">
        <f aca="false">F20*NonRec</f>
        <v>35167.5543141636</v>
      </c>
      <c r="G41" s="26" t="n">
        <f aca="false">G20*NonRec</f>
        <v>34666.0980271963</v>
      </c>
      <c r="H41" s="26" t="n">
        <f aca="false">H20*NonRec</f>
        <v>37565.1304284976</v>
      </c>
      <c r="I41" s="26" t="n">
        <f aca="false">I20*NonRec</f>
        <v>32198.2730386034</v>
      </c>
      <c r="J41" s="26" t="n">
        <f aca="false">J20*NonRec</f>
        <v>38459.9475432235</v>
      </c>
      <c r="K41" s="26" t="n">
        <f aca="false">K20*NonRec</f>
        <v>37508.0217116596</v>
      </c>
      <c r="L41" s="26" t="n">
        <f aca="false">L20*NonRec</f>
        <v>41475.1741482442</v>
      </c>
    </row>
    <row r="42" customFormat="false" ht="15" hidden="false" customHeight="false" outlineLevel="0" collapsed="false">
      <c r="A42" s="7" t="s">
        <v>104</v>
      </c>
      <c r="B42" s="26" t="n">
        <f aca="false">B20*MgmtFee</f>
        <v>12737.96625</v>
      </c>
      <c r="C42" s="26" t="n">
        <f aca="false">C20*MgmtFee</f>
        <v>15494.115</v>
      </c>
      <c r="D42" s="26" t="n">
        <f aca="false">D20*MgmtFee</f>
        <v>14919.4938375</v>
      </c>
      <c r="E42" s="26" t="n">
        <f aca="false">E20*MgmtFee</f>
        <v>14546.1342535313</v>
      </c>
      <c r="F42" s="26" t="n">
        <f aca="false">F20*MgmtFee</f>
        <v>15985.2519609834</v>
      </c>
      <c r="G42" s="26" t="n">
        <f aca="false">G20*MgmtFee</f>
        <v>15757.3172850892</v>
      </c>
      <c r="H42" s="26" t="n">
        <f aca="false">H20*MgmtFee</f>
        <v>17075.0592856807</v>
      </c>
      <c r="I42" s="26" t="n">
        <f aca="false">I20*MgmtFee</f>
        <v>14635.5786539106</v>
      </c>
      <c r="J42" s="26" t="n">
        <f aca="false">J20*MgmtFee</f>
        <v>17481.7943378289</v>
      </c>
      <c r="K42" s="26" t="n">
        <f aca="false">K20*MgmtFee</f>
        <v>17049.1007780271</v>
      </c>
      <c r="L42" s="26" t="n">
        <f aca="false">L20*MgmtFee</f>
        <v>18852.3518855656</v>
      </c>
    </row>
    <row r="43" customFormat="false" ht="15" hidden="false" customHeight="false" outlineLevel="0" collapsed="false">
      <c r="A43" s="11" t="s">
        <v>105</v>
      </c>
      <c r="B43" s="12" t="n">
        <f aca="false">B20-B41-B42</f>
        <v>1657634.008</v>
      </c>
      <c r="C43" s="12" t="n">
        <f aca="false">C20-C41-C42</f>
        <v>2016300.832</v>
      </c>
      <c r="D43" s="12" t="n">
        <f aca="false">D20-D41-D42</f>
        <v>1941523.46472</v>
      </c>
      <c r="E43" s="12" t="n">
        <f aca="false">E20-E41-E42</f>
        <v>1892936.9375262</v>
      </c>
      <c r="F43" s="12" t="n">
        <f aca="false">F20-F41-F42</f>
        <v>2080214.12185598</v>
      </c>
      <c r="G43" s="12" t="n">
        <f aca="false">G20-G41-G42</f>
        <v>2050552.22269961</v>
      </c>
      <c r="H43" s="12" t="n">
        <f aca="false">H20-H41-H42</f>
        <v>2222034.38170992</v>
      </c>
      <c r="I43" s="12" t="n">
        <f aca="false">I20-I41-I42</f>
        <v>1904576.63549557</v>
      </c>
      <c r="J43" s="12" t="n">
        <f aca="false">J20-J41-J42</f>
        <v>2274964.16982946</v>
      </c>
      <c r="K43" s="12" t="n">
        <f aca="false">K20-K41-K42</f>
        <v>2218656.31458059</v>
      </c>
      <c r="L43" s="12" t="n">
        <f aca="false">L20-L41-L42</f>
        <v>2453319.3920416</v>
      </c>
    </row>
    <row r="44" customFormat="false" ht="15" hidden="false" customHeight="false" outlineLevel="0" collapsed="false">
      <c r="A44" s="7" t="s">
        <v>106</v>
      </c>
      <c r="B44" s="26" t="n">
        <f aca="false">B34</f>
        <v>73497.3</v>
      </c>
      <c r="C44" s="26" t="n">
        <f aca="false">C34</f>
        <v>0</v>
      </c>
      <c r="D44" s="26" t="n">
        <f aca="false">D34</f>
        <v>24590.307</v>
      </c>
      <c r="E44" s="26" t="n">
        <f aca="false">E34</f>
        <v>50800.3122825</v>
      </c>
      <c r="F44" s="26" t="n">
        <f aca="false">F34</f>
        <v>18888.479748675</v>
      </c>
      <c r="G44" s="26" t="n">
        <f aca="false">G34</f>
        <v>35139.7866824395</v>
      </c>
      <c r="H44" s="26" t="n">
        <f aca="false">H34</f>
        <v>0</v>
      </c>
      <c r="I44" s="26" t="n">
        <f aca="false">I34</f>
        <v>88341.5494583934</v>
      </c>
      <c r="J44" s="26" t="n">
        <f aca="false">J34</f>
        <v>18352.606338277</v>
      </c>
      <c r="K44" s="26" t="n">
        <f aca="false">K34</f>
        <v>48086.6962010262</v>
      </c>
      <c r="L44" s="26" t="n">
        <f aca="false">L34</f>
        <v>0</v>
      </c>
    </row>
    <row r="45" customFormat="false" ht="15" hidden="false" customHeight="false" outlineLevel="0" collapsed="false">
      <c r="A45" s="7" t="s">
        <v>107</v>
      </c>
      <c r="B45" s="26" t="n">
        <f aca="false">SUMIF(CapexYr,B$9,CapexAmt)</f>
        <v>1850000</v>
      </c>
      <c r="C45" s="26" t="n">
        <f aca="false">SUMIF(CapexYr,C$9,CapexAmt)</f>
        <v>940000</v>
      </c>
      <c r="D45" s="26" t="n">
        <f aca="false">SUMIF(CapexYr,D$9,CapexAmt)</f>
        <v>610000</v>
      </c>
      <c r="E45" s="26" t="n">
        <f aca="false">SUMIF(CapexYr,E$9,CapexAmt)</f>
        <v>0</v>
      </c>
      <c r="F45" s="26" t="n">
        <f aca="false">SUMIF(CapexYr,F$9,CapexAmt)</f>
        <v>0</v>
      </c>
      <c r="G45" s="26" t="n">
        <f aca="false">SUMIF(CapexYr,G$9,CapexAmt)</f>
        <v>0</v>
      </c>
      <c r="H45" s="26" t="n">
        <f aca="false">SUMIF(CapexYr,H$9,CapexAmt)</f>
        <v>0</v>
      </c>
      <c r="I45" s="26" t="n">
        <f aca="false">SUMIF(CapexYr,I$9,CapexAmt)</f>
        <v>0</v>
      </c>
      <c r="J45" s="26" t="n">
        <f aca="false">SUMIF(CapexYr,J$9,CapexAmt)</f>
        <v>0</v>
      </c>
      <c r="K45" s="26" t="n">
        <f aca="false">SUMIF(CapexYr,K$9,CapexAmt)</f>
        <v>0</v>
      </c>
      <c r="L45" s="26" t="n">
        <f aca="false">SUMIF(CapexYr,L$9,CapexAmt)</f>
        <v>0</v>
      </c>
    </row>
    <row r="46" customFormat="false" ht="15" hidden="false" customHeight="false" outlineLevel="0" collapsed="false">
      <c r="A46" s="11" t="s">
        <v>108</v>
      </c>
      <c r="B46" s="12" t="n">
        <f aca="false">B43-B44-B45</f>
        <v>-265863.292</v>
      </c>
      <c r="C46" s="12" t="n">
        <f aca="false">C43-C44-C45</f>
        <v>1076300.832</v>
      </c>
      <c r="D46" s="12" t="n">
        <f aca="false">D43-D44-D45</f>
        <v>1306933.15772</v>
      </c>
      <c r="E46" s="12" t="n">
        <f aca="false">E43-E44-E45</f>
        <v>1842136.6252437</v>
      </c>
      <c r="F46" s="12" t="n">
        <f aca="false">F43-F44-F45</f>
        <v>2061325.6421073</v>
      </c>
      <c r="G46" s="12" t="n">
        <f aca="false">G43-G44-G45</f>
        <v>2015412.43601717</v>
      </c>
      <c r="H46" s="12" t="n">
        <f aca="false">H43-H44-H45</f>
        <v>2222034.38170992</v>
      </c>
      <c r="I46" s="12" t="n">
        <f aca="false">I43-I44-I45</f>
        <v>1816235.08603718</v>
      </c>
      <c r="J46" s="12" t="n">
        <f aca="false">J43-J44-J45</f>
        <v>2256611.56349119</v>
      </c>
      <c r="K46" s="12" t="n">
        <f aca="false">K43-K44-K45</f>
        <v>2170569.61837956</v>
      </c>
      <c r="L46" s="12" t="n">
        <f aca="false">L43-L44-L45</f>
        <v>2453319.3920416</v>
      </c>
    </row>
    <row r="48" customFormat="false" ht="15" hidden="false" customHeight="false" outlineLevel="0" collapsed="false">
      <c r="A48" s="18"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8"/>
    <col collapsed="false" customWidth="true" hidden="false" outlineLevel="0" max="12" min="2" style="0" width="14"/>
  </cols>
  <sheetData>
    <row r="1" customFormat="false" ht="24" hidden="false" customHeight="true" outlineLevel="0" collapsed="false">
      <c r="A1" s="1" t="s">
        <v>110</v>
      </c>
    </row>
    <row r="2" customFormat="false" ht="15" hidden="false" customHeight="false" outlineLevel="0" collapsed="false">
      <c r="A2" s="2" t="s">
        <v>111</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4" t="s">
        <v>112</v>
      </c>
      <c r="B5" s="6"/>
      <c r="C5" s="6"/>
      <c r="D5" s="6"/>
      <c r="E5" s="6"/>
      <c r="F5" s="6"/>
      <c r="G5" s="6"/>
      <c r="H5" s="6"/>
      <c r="I5" s="6"/>
      <c r="J5" s="6"/>
      <c r="K5" s="6"/>
      <c r="L5" s="6"/>
    </row>
    <row r="7" customFormat="false" ht="15" hidden="false" customHeight="false" outlineLevel="0" collapsed="false">
      <c r="A7" s="7" t="s">
        <v>113</v>
      </c>
      <c r="B7" s="12" t="n">
        <f aca="false">'Income account'!L43</f>
        <v>2453319.3920416</v>
      </c>
    </row>
    <row r="8" customFormat="false" ht="15" hidden="false" customHeight="false" outlineLevel="0" collapsed="false">
      <c r="A8" s="7" t="s">
        <v>114</v>
      </c>
      <c r="B8" s="23" t="n">
        <f aca="false">ExitYld</f>
        <v>0.0665</v>
      </c>
    </row>
    <row r="9" customFormat="false" ht="15" hidden="false" customHeight="false" outlineLevel="0" collapsed="false">
      <c r="A9" s="11" t="s">
        <v>115</v>
      </c>
      <c r="B9" s="12" t="n">
        <f aca="false">ExitNOI/ExitYld</f>
        <v>36892020.9329564</v>
      </c>
    </row>
    <row r="10" customFormat="false" ht="15" hidden="false" customHeight="false" outlineLevel="0" collapsed="false">
      <c r="A10" s="7" t="s">
        <v>116</v>
      </c>
      <c r="B10" s="21" t="n">
        <f aca="false">GrossExit*SaleCost</f>
        <v>461150.261661954</v>
      </c>
    </row>
    <row r="11" customFormat="false" ht="15" hidden="false" customHeight="false" outlineLevel="0" collapsed="false">
      <c r="A11" s="11" t="s">
        <v>117</v>
      </c>
      <c r="B11" s="12" t="n">
        <f aca="false">GrossExit*(1-SaleCost)</f>
        <v>36430870.6712944</v>
      </c>
    </row>
    <row r="13" customFormat="false" ht="15" hidden="false" customHeight="false" outlineLevel="0" collapsed="false">
      <c r="A13" s="7" t="s">
        <v>118</v>
      </c>
      <c r="B13" s="21" t="n">
        <f aca="false">'Income account'!K43</f>
        <v>2218656.31458059</v>
      </c>
      <c r="D13" s="7" t="s">
        <v>119</v>
      </c>
    </row>
    <row r="14" customFormat="false" ht="15" hidden="false" customHeight="false" outlineLevel="0" collapsed="false">
      <c r="A14" s="7" t="s">
        <v>120</v>
      </c>
      <c r="B14" s="21" t="n">
        <f aca="false">B13/ExitYld</f>
        <v>33363252.8508359</v>
      </c>
    </row>
    <row r="15" customFormat="false" ht="15" hidden="false" customHeight="false" outlineLevel="0" collapsed="false">
      <c r="A15" s="11" t="s">
        <v>121</v>
      </c>
      <c r="B15" s="12" t="n">
        <f aca="false">B14-B9</f>
        <v>-3528768.08212042</v>
      </c>
    </row>
    <row r="17" customFormat="false" ht="15" hidden="false" customHeight="false" outlineLevel="0" collapsed="false">
      <c r="A17" s="4" t="s">
        <v>122</v>
      </c>
      <c r="B17" s="6"/>
      <c r="C17" s="6"/>
      <c r="D17" s="6"/>
      <c r="E17" s="6"/>
      <c r="F17" s="6"/>
      <c r="G17" s="6"/>
      <c r="H17" s="6"/>
      <c r="I17" s="6"/>
      <c r="J17" s="6"/>
      <c r="K17" s="6"/>
      <c r="L17" s="6"/>
    </row>
    <row r="19" customFormat="false" ht="15" hidden="false" customHeight="false" outlineLevel="0" collapsed="false">
      <c r="A19" s="24" t="s">
        <v>55</v>
      </c>
      <c r="B19" s="25" t="n">
        <v>0</v>
      </c>
      <c r="C19" s="25" t="n">
        <f aca="false">B19+1</f>
        <v>1</v>
      </c>
      <c r="D19" s="25" t="n">
        <f aca="false">C19+1</f>
        <v>2</v>
      </c>
      <c r="E19" s="25" t="n">
        <f aca="false">D19+1</f>
        <v>3</v>
      </c>
      <c r="F19" s="25" t="n">
        <f aca="false">E19+1</f>
        <v>4</v>
      </c>
      <c r="G19" s="25" t="n">
        <f aca="false">F19+1</f>
        <v>5</v>
      </c>
      <c r="H19" s="25" t="n">
        <f aca="false">G19+1</f>
        <v>6</v>
      </c>
      <c r="I19" s="25" t="n">
        <f aca="false">H19+1</f>
        <v>7</v>
      </c>
      <c r="J19" s="25" t="n">
        <f aca="false">I19+1</f>
        <v>8</v>
      </c>
      <c r="K19" s="25" t="n">
        <f aca="false">J19+1</f>
        <v>9</v>
      </c>
      <c r="L19" s="25" t="n">
        <f aca="false">K19+1</f>
        <v>10</v>
      </c>
    </row>
    <row r="20" customFormat="false" ht="15" hidden="false" customHeight="false" outlineLevel="0" collapsed="false">
      <c r="A20" s="7" t="s">
        <v>123</v>
      </c>
      <c r="B20" s="26" t="n">
        <f aca="false">-TotCost</f>
        <v>-28195200</v>
      </c>
    </row>
    <row r="21" customFormat="false" ht="15" hidden="false" customHeight="false" outlineLevel="0" collapsed="false">
      <c r="A21" s="7" t="s">
        <v>108</v>
      </c>
      <c r="B21" s="26" t="n">
        <f aca="false">0</f>
        <v>0</v>
      </c>
      <c r="C21" s="26" t="n">
        <f aca="false">'Income account'!B46</f>
        <v>-265863.292</v>
      </c>
      <c r="D21" s="26" t="n">
        <f aca="false">'Income account'!C46</f>
        <v>1076300.832</v>
      </c>
      <c r="E21" s="26" t="n">
        <f aca="false">'Income account'!D46</f>
        <v>1306933.15772</v>
      </c>
      <c r="F21" s="26" t="n">
        <f aca="false">'Income account'!E46</f>
        <v>1842136.6252437</v>
      </c>
      <c r="G21" s="26" t="n">
        <f aca="false">'Income account'!F46</f>
        <v>2061325.6421073</v>
      </c>
      <c r="H21" s="26" t="n">
        <f aca="false">'Income account'!G46</f>
        <v>2015412.43601717</v>
      </c>
      <c r="I21" s="26" t="n">
        <f aca="false">'Income account'!H46</f>
        <v>2222034.38170992</v>
      </c>
      <c r="J21" s="26" t="n">
        <f aca="false">'Income account'!I46</f>
        <v>1816235.08603718</v>
      </c>
      <c r="K21" s="26" t="n">
        <f aca="false">'Income account'!J46</f>
        <v>2256611.56349119</v>
      </c>
      <c r="L21" s="26" t="n">
        <f aca="false">'Income account'!K46</f>
        <v>2170569.61837956</v>
      </c>
    </row>
    <row r="22" customFormat="false" ht="15" hidden="false" customHeight="false" outlineLevel="0" collapsed="false">
      <c r="A22" s="7" t="s">
        <v>124</v>
      </c>
      <c r="B22" s="26" t="n">
        <f aca="false">0</f>
        <v>0</v>
      </c>
      <c r="C22" s="26" t="n">
        <f aca="false">-AMFee</f>
        <v>-211464</v>
      </c>
      <c r="D22" s="26" t="n">
        <f aca="false">-AMFee</f>
        <v>-211464</v>
      </c>
      <c r="E22" s="26" t="n">
        <f aca="false">-AMFee</f>
        <v>-211464</v>
      </c>
      <c r="F22" s="26" t="n">
        <f aca="false">-AMFee</f>
        <v>-211464</v>
      </c>
      <c r="G22" s="26" t="n">
        <f aca="false">-AMFee</f>
        <v>-211464</v>
      </c>
      <c r="H22" s="26" t="n">
        <f aca="false">-AMFee</f>
        <v>-211464</v>
      </c>
      <c r="I22" s="26" t="n">
        <f aca="false">-AMFee</f>
        <v>-211464</v>
      </c>
      <c r="J22" s="26" t="n">
        <f aca="false">-AMFee</f>
        <v>-211464</v>
      </c>
      <c r="K22" s="26" t="n">
        <f aca="false">-AMFee</f>
        <v>-211464</v>
      </c>
      <c r="L22" s="26" t="n">
        <f aca="false">-AMFee</f>
        <v>-211464</v>
      </c>
    </row>
    <row r="23" customFormat="false" ht="15" hidden="false" customHeight="false" outlineLevel="0" collapsed="false">
      <c r="A23" s="7" t="s">
        <v>117</v>
      </c>
      <c r="B23" s="21" t="n">
        <f aca="false">0</f>
        <v>0</v>
      </c>
      <c r="C23" s="21" t="n">
        <f aca="false">0</f>
        <v>0</v>
      </c>
      <c r="D23" s="21" t="n">
        <f aca="false">0</f>
        <v>0</v>
      </c>
      <c r="E23" s="21" t="n">
        <f aca="false">0</f>
        <v>0</v>
      </c>
      <c r="F23" s="21" t="n">
        <f aca="false">0</f>
        <v>0</v>
      </c>
      <c r="G23" s="21" t="n">
        <f aca="false">0</f>
        <v>0</v>
      </c>
      <c r="H23" s="21" t="n">
        <f aca="false">0</f>
        <v>0</v>
      </c>
      <c r="I23" s="21" t="n">
        <f aca="false">0</f>
        <v>0</v>
      </c>
      <c r="J23" s="21" t="n">
        <f aca="false">0</f>
        <v>0</v>
      </c>
      <c r="K23" s="21" t="n">
        <f aca="false">0</f>
        <v>0</v>
      </c>
      <c r="L23" s="21" t="n">
        <f aca="false">NetExit</f>
        <v>36430870.6712944</v>
      </c>
    </row>
    <row r="24" customFormat="false" ht="15" hidden="false" customHeight="false" outlineLevel="0" collapsed="false">
      <c r="A24" s="11" t="s">
        <v>125</v>
      </c>
      <c r="B24" s="12" t="n">
        <f aca="false">SUM(B20:B23)</f>
        <v>-28195200</v>
      </c>
      <c r="C24" s="12" t="n">
        <f aca="false">SUM(C20:C23)</f>
        <v>-477327.292</v>
      </c>
      <c r="D24" s="12" t="n">
        <f aca="false">SUM(D20:D23)</f>
        <v>864836.832</v>
      </c>
      <c r="E24" s="12" t="n">
        <f aca="false">SUM(E20:E23)</f>
        <v>1095469.15772</v>
      </c>
      <c r="F24" s="12" t="n">
        <f aca="false">SUM(F20:F23)</f>
        <v>1630672.6252437</v>
      </c>
      <c r="G24" s="12" t="n">
        <f aca="false">SUM(G20:G23)</f>
        <v>1849861.6421073</v>
      </c>
      <c r="H24" s="12" t="n">
        <f aca="false">SUM(H20:H23)</f>
        <v>1803948.43601717</v>
      </c>
      <c r="I24" s="12" t="n">
        <f aca="false">SUM(I20:I23)</f>
        <v>2010570.38170992</v>
      </c>
      <c r="J24" s="12" t="n">
        <f aca="false">SUM(J20:J23)</f>
        <v>1604771.08603718</v>
      </c>
      <c r="K24" s="12" t="n">
        <f aca="false">SUM(K20:K23)</f>
        <v>2045147.56349119</v>
      </c>
      <c r="L24" s="12" t="n">
        <f aca="false">SUM(L20:L23)</f>
        <v>38389976.289674</v>
      </c>
    </row>
    <row r="25" customFormat="false" ht="15" hidden="false" customHeight="false" outlineLevel="0" collapsed="false">
      <c r="A25" s="7" t="s">
        <v>126</v>
      </c>
      <c r="B25" s="26" t="n">
        <f aca="false">-ArrFee</f>
        <v>-159720</v>
      </c>
      <c r="C25" s="26" t="n">
        <f aca="false">0</f>
        <v>0</v>
      </c>
      <c r="D25" s="26" t="n">
        <f aca="false">0</f>
        <v>0</v>
      </c>
      <c r="E25" s="26" t="n">
        <f aca="false">0</f>
        <v>0</v>
      </c>
      <c r="F25" s="26" t="n">
        <f aca="false">0</f>
        <v>0</v>
      </c>
      <c r="G25" s="26" t="n">
        <f aca="false">0</f>
        <v>0</v>
      </c>
      <c r="H25" s="26" t="n">
        <f aca="false">0</f>
        <v>0</v>
      </c>
      <c r="I25" s="26" t="n">
        <f aca="false">0</f>
        <v>0</v>
      </c>
      <c r="J25" s="26" t="n">
        <f aca="false">0</f>
        <v>0</v>
      </c>
      <c r="K25" s="26" t="n">
        <f aca="false">0</f>
        <v>0</v>
      </c>
      <c r="L25" s="26" t="n">
        <f aca="false">0</f>
        <v>0</v>
      </c>
    </row>
    <row r="26" customFormat="false" ht="15" hidden="false" customHeight="false" outlineLevel="0" collapsed="false">
      <c r="A26" s="7" t="s">
        <v>127</v>
      </c>
      <c r="B26" s="21" t="n">
        <f aca="false">Debt</f>
        <v>14520000</v>
      </c>
      <c r="C26" s="21" t="n">
        <f aca="false">0</f>
        <v>0</v>
      </c>
      <c r="D26" s="21" t="n">
        <f aca="false">0</f>
        <v>0</v>
      </c>
      <c r="E26" s="21" t="n">
        <f aca="false">0</f>
        <v>0</v>
      </c>
      <c r="F26" s="21" t="n">
        <f aca="false">0</f>
        <v>0</v>
      </c>
      <c r="G26" s="21" t="n">
        <f aca="false">0</f>
        <v>0</v>
      </c>
      <c r="H26" s="21" t="n">
        <f aca="false">0</f>
        <v>0</v>
      </c>
      <c r="I26" s="21" t="n">
        <f aca="false">0</f>
        <v>0</v>
      </c>
      <c r="J26" s="21" t="n">
        <f aca="false">0</f>
        <v>0</v>
      </c>
      <c r="K26" s="21" t="n">
        <f aca="false">0</f>
        <v>0</v>
      </c>
      <c r="L26" s="21" t="n">
        <f aca="false">-Debt</f>
        <v>-14520000</v>
      </c>
    </row>
    <row r="27" customFormat="false" ht="15" hidden="false" customHeight="false" outlineLevel="0" collapsed="false">
      <c r="A27" s="7" t="s">
        <v>128</v>
      </c>
      <c r="B27" s="26" t="n">
        <f aca="false">0</f>
        <v>0</v>
      </c>
      <c r="C27" s="26" t="n">
        <f aca="false">-Interest</f>
        <v>-631620</v>
      </c>
      <c r="D27" s="26" t="n">
        <f aca="false">-Interest</f>
        <v>-631620</v>
      </c>
      <c r="E27" s="26" t="n">
        <f aca="false">-Interest</f>
        <v>-631620</v>
      </c>
      <c r="F27" s="26" t="n">
        <f aca="false">-Interest</f>
        <v>-631620</v>
      </c>
      <c r="G27" s="26" t="n">
        <f aca="false">-Interest</f>
        <v>-631620</v>
      </c>
      <c r="H27" s="26" t="n">
        <f aca="false">-Interest</f>
        <v>-631620</v>
      </c>
      <c r="I27" s="26" t="n">
        <f aca="false">-Interest</f>
        <v>-631620</v>
      </c>
      <c r="J27" s="26" t="n">
        <f aca="false">-Interest</f>
        <v>-631620</v>
      </c>
      <c r="K27" s="26" t="n">
        <f aca="false">-Interest</f>
        <v>-631620</v>
      </c>
      <c r="L27" s="26" t="n">
        <f aca="false">-Interest</f>
        <v>-631620</v>
      </c>
    </row>
    <row r="28" customFormat="false" ht="15" hidden="false" customHeight="false" outlineLevel="0" collapsed="false">
      <c r="A28" s="11" t="s">
        <v>129</v>
      </c>
      <c r="B28" s="12" t="n">
        <f aca="false">B24+B25+B26+B27</f>
        <v>-13834920</v>
      </c>
      <c r="C28" s="12" t="n">
        <f aca="false">C24+C25+C26+C27</f>
        <v>-1108947.292</v>
      </c>
      <c r="D28" s="12" t="n">
        <f aca="false">D24+D25+D26+D27</f>
        <v>233216.832</v>
      </c>
      <c r="E28" s="12" t="n">
        <f aca="false">E24+E25+E26+E27</f>
        <v>463849.15772</v>
      </c>
      <c r="F28" s="12" t="n">
        <f aca="false">F24+F25+F26+F27</f>
        <v>999052.6252437</v>
      </c>
      <c r="G28" s="12" t="n">
        <f aca="false">G24+G25+G26+G27</f>
        <v>1218241.6421073</v>
      </c>
      <c r="H28" s="12" t="n">
        <f aca="false">H24+H25+H26+H27</f>
        <v>1172328.43601717</v>
      </c>
      <c r="I28" s="12" t="n">
        <f aca="false">I24+I25+I26+I27</f>
        <v>1378950.38170992</v>
      </c>
      <c r="J28" s="12" t="n">
        <f aca="false">J24+J25+J26+J27</f>
        <v>973151.086037178</v>
      </c>
      <c r="K28" s="12" t="n">
        <f aca="false">K24+K25+K26+K27</f>
        <v>1413527.56349119</v>
      </c>
      <c r="L28" s="12" t="n">
        <f aca="false">L24+L25+L26+L27</f>
        <v>23238356.289674</v>
      </c>
    </row>
    <row r="30" customFormat="false" ht="15" hidden="false" customHeight="false" outlineLevel="0" collapsed="false">
      <c r="A30" s="4" t="s">
        <v>130</v>
      </c>
      <c r="B30" s="6"/>
      <c r="C30" s="6"/>
      <c r="D30" s="6"/>
      <c r="E30" s="6"/>
      <c r="F30" s="6"/>
      <c r="G30" s="6"/>
      <c r="H30" s="6"/>
      <c r="I30" s="6"/>
      <c r="J30" s="6"/>
      <c r="K30" s="6"/>
      <c r="L30" s="6"/>
    </row>
    <row r="32" customFormat="false" ht="15" hidden="false" customHeight="false" outlineLevel="0" collapsed="false">
      <c r="A32" s="11" t="s">
        <v>131</v>
      </c>
      <c r="B32" s="27" t="n">
        <f aca="false">IRR(PropFlows)</f>
        <v>0.0682054638348641</v>
      </c>
      <c r="D32" s="7" t="s">
        <v>132</v>
      </c>
    </row>
    <row r="33" customFormat="false" ht="15" hidden="false" customHeight="false" outlineLevel="0" collapsed="false">
      <c r="A33" s="11" t="s">
        <v>133</v>
      </c>
      <c r="B33" s="27" t="n">
        <f aca="false">IRR(EqFlows)</f>
        <v>0.0866467604777335</v>
      </c>
    </row>
    <row r="34" customFormat="false" ht="15" hidden="false" customHeight="false" outlineLevel="0" collapsed="false">
      <c r="A34" s="11" t="s">
        <v>134</v>
      </c>
      <c r="B34" s="28" t="n">
        <f aca="false">SUM(C28:L28)/Equity0</f>
        <v>2.16710517458723</v>
      </c>
    </row>
    <row r="35" customFormat="false" ht="15" hidden="false" customHeight="false" outlineLevel="0" collapsed="false">
      <c r="A35" s="7" t="s">
        <v>135</v>
      </c>
      <c r="B35" s="21" t="n">
        <f aca="false">SUM(EqFlows)</f>
        <v>16146806.7220004</v>
      </c>
    </row>
    <row r="36" customFormat="false" ht="15" hidden="false" customHeight="false" outlineLevel="0" collapsed="false">
      <c r="A36" s="7" t="s">
        <v>136</v>
      </c>
      <c r="B36" s="21" t="n">
        <f aca="false">-SUMIF(EqFlows,"&lt;0")</f>
        <v>14943867.292</v>
      </c>
      <c r="D36" s="7" t="s">
        <v>137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2"/>
    <col collapsed="false" customWidth="true" hidden="false" outlineLevel="0" max="12" min="2" style="0" width="14"/>
  </cols>
  <sheetData>
    <row r="1" customFormat="false" ht="24" hidden="false" customHeight="true" outlineLevel="0" collapsed="false">
      <c r="A1" s="1" t="s">
        <v>138</v>
      </c>
    </row>
    <row r="2" customFormat="false" ht="15" hidden="false" customHeight="false" outlineLevel="0" collapsed="false">
      <c r="A2" s="2" t="s">
        <v>139</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4" t="s">
        <v>140</v>
      </c>
      <c r="B5" s="6"/>
      <c r="C5" s="6"/>
      <c r="D5" s="6"/>
      <c r="E5" s="6"/>
      <c r="F5" s="6"/>
      <c r="G5" s="6"/>
      <c r="H5" s="6"/>
      <c r="I5" s="6"/>
      <c r="J5" s="6"/>
      <c r="K5" s="6"/>
      <c r="L5" s="6"/>
    </row>
    <row r="7" customFormat="false" ht="15" hidden="false" customHeight="false" outlineLevel="0" collapsed="false">
      <c r="A7" s="18" t="s">
        <v>141</v>
      </c>
    </row>
    <row r="9" customFormat="false" ht="15" hidden="false" customHeight="false" outlineLevel="0" collapsed="false">
      <c r="A9" s="11" t="s">
        <v>142</v>
      </c>
      <c r="B9" s="29" t="n">
        <v>1</v>
      </c>
    </row>
    <row r="11" customFormat="false" ht="15" hidden="false" customHeight="false" outlineLevel="0" collapsed="false">
      <c r="A11" s="4" t="s">
        <v>143</v>
      </c>
      <c r="B11" s="6"/>
      <c r="C11" s="6"/>
      <c r="D11" s="6"/>
      <c r="E11" s="6"/>
      <c r="F11" s="6"/>
      <c r="G11" s="6"/>
      <c r="H11" s="6"/>
      <c r="I11" s="6"/>
      <c r="J11" s="6"/>
      <c r="K11" s="6"/>
      <c r="L11" s="6"/>
    </row>
    <row r="13" customFormat="false" ht="15" hidden="false" customHeight="false" outlineLevel="0" collapsed="false">
      <c r="A13" s="24" t="s">
        <v>55</v>
      </c>
      <c r="B13" s="25" t="n">
        <v>0</v>
      </c>
      <c r="C13" s="25" t="n">
        <f aca="false">B13+1</f>
        <v>1</v>
      </c>
      <c r="D13" s="25" t="n">
        <f aca="false">C13+1</f>
        <v>2</v>
      </c>
      <c r="E13" s="25" t="n">
        <f aca="false">D13+1</f>
        <v>3</v>
      </c>
      <c r="F13" s="25" t="n">
        <f aca="false">E13+1</f>
        <v>4</v>
      </c>
      <c r="G13" s="25" t="n">
        <f aca="false">F13+1</f>
        <v>5</v>
      </c>
      <c r="H13" s="25" t="n">
        <f aca="false">G13+1</f>
        <v>6</v>
      </c>
      <c r="I13" s="25" t="n">
        <f aca="false">H13+1</f>
        <v>7</v>
      </c>
      <c r="J13" s="25" t="n">
        <f aca="false">I13+1</f>
        <v>8</v>
      </c>
      <c r="K13" s="25" t="n">
        <f aca="false">J13+1</f>
        <v>9</v>
      </c>
      <c r="L13" s="25" t="n">
        <f aca="false">K13+1</f>
        <v>10</v>
      </c>
    </row>
    <row r="14" customFormat="false" ht="15" hidden="false" customHeight="false" outlineLevel="0" collapsed="false">
      <c r="A14" s="7" t="s">
        <v>144</v>
      </c>
      <c r="B14" s="26" t="n">
        <f aca="false">'Cash flows'!B28</f>
        <v>-13834920</v>
      </c>
      <c r="C14" s="26" t="n">
        <f aca="false">'Cash flows'!C28</f>
        <v>-1108947.292</v>
      </c>
      <c r="D14" s="26" t="n">
        <f aca="false">'Cash flows'!D28</f>
        <v>233216.832</v>
      </c>
      <c r="E14" s="26" t="n">
        <f aca="false">'Cash flows'!E28</f>
        <v>463849.15772</v>
      </c>
      <c r="F14" s="26" t="n">
        <f aca="false">'Cash flows'!F28</f>
        <v>999052.6252437</v>
      </c>
      <c r="G14" s="26" t="n">
        <f aca="false">'Cash flows'!G28</f>
        <v>1218241.6421073</v>
      </c>
      <c r="H14" s="26" t="n">
        <f aca="false">'Cash flows'!H28</f>
        <v>1172328.43601717</v>
      </c>
      <c r="I14" s="26" t="n">
        <f aca="false">'Cash flows'!I28</f>
        <v>1378950.38170992</v>
      </c>
      <c r="J14" s="26" t="n">
        <f aca="false">'Cash flows'!J28</f>
        <v>973151.086037178</v>
      </c>
      <c r="K14" s="26" t="n">
        <f aca="false">'Cash flows'!K28</f>
        <v>1413527.56349119</v>
      </c>
      <c r="L14" s="26" t="n">
        <f aca="false">'Cash flows'!L28</f>
        <v>23238356.289674</v>
      </c>
    </row>
    <row r="15" customFormat="false" ht="15" hidden="false" customHeight="false" outlineLevel="0" collapsed="false">
      <c r="A15" s="30" t="s">
        <v>145</v>
      </c>
      <c r="B15" s="26" t="n">
        <f aca="false">0</f>
        <v>0</v>
      </c>
      <c r="C15" s="26" t="n">
        <f aca="false">B28</f>
        <v>13834920</v>
      </c>
      <c r="D15" s="26" t="n">
        <f aca="false">C28</f>
        <v>14943867.292</v>
      </c>
      <c r="E15" s="26" t="n">
        <f aca="false">D28</f>
        <v>14943867.292</v>
      </c>
      <c r="F15" s="26" t="n">
        <f aca="false">E28</f>
        <v>14943867.292</v>
      </c>
      <c r="G15" s="26" t="n">
        <f aca="false">F28</f>
        <v>14943867.292</v>
      </c>
      <c r="H15" s="26" t="n">
        <f aca="false">G28</f>
        <v>14943867.292</v>
      </c>
      <c r="I15" s="26" t="n">
        <f aca="false">H28</f>
        <v>14943867.292</v>
      </c>
      <c r="J15" s="26" t="n">
        <f aca="false">I28</f>
        <v>14943867.292</v>
      </c>
      <c r="K15" s="26" t="n">
        <f aca="false">J28</f>
        <v>14943867.292</v>
      </c>
      <c r="L15" s="26" t="n">
        <f aca="false">K28</f>
        <v>14943867.292</v>
      </c>
    </row>
    <row r="16" customFormat="false" ht="15" hidden="false" customHeight="false" outlineLevel="0" collapsed="false">
      <c r="A16" s="30" t="s">
        <v>146</v>
      </c>
      <c r="B16" s="26" t="n">
        <f aca="false">0</f>
        <v>0</v>
      </c>
      <c r="C16" s="26" t="n">
        <f aca="false">B29</f>
        <v>0</v>
      </c>
      <c r="D16" s="26" t="n">
        <f aca="false">C29</f>
        <v>1106793.6</v>
      </c>
      <c r="E16" s="26" t="n">
        <f aca="false">D29</f>
        <v>2157629.63936</v>
      </c>
      <c r="F16" s="26" t="n">
        <f aca="false">E29</f>
        <v>3061900.2361488</v>
      </c>
      <c r="G16" s="26" t="n">
        <f aca="false">F29</f>
        <v>3503309.013157</v>
      </c>
      <c r="H16" s="26" t="n">
        <f aca="false">G29</f>
        <v>3760841.47546226</v>
      </c>
      <c r="I16" s="26" t="n">
        <f aca="false">H29</f>
        <v>4084889.74084207</v>
      </c>
      <c r="J16" s="26" t="n">
        <f aca="false">I29</f>
        <v>4228239.92175951</v>
      </c>
      <c r="K16" s="26" t="n">
        <f aca="false">J29</f>
        <v>4788857.4128231</v>
      </c>
      <c r="L16" s="26" t="n">
        <f aca="false">K29</f>
        <v>4953947.82571776</v>
      </c>
    </row>
    <row r="17" customFormat="false" ht="15" hidden="false" customHeight="false" outlineLevel="0" collapsed="false">
      <c r="A17" s="30" t="s">
        <v>147</v>
      </c>
      <c r="B17" s="26" t="n">
        <f aca="false">0</f>
        <v>0</v>
      </c>
      <c r="C17" s="26" t="n">
        <f aca="false">(C15+C16)*Pref</f>
        <v>1106793.6</v>
      </c>
      <c r="D17" s="26" t="n">
        <f aca="false">(D15+D16)*Pref</f>
        <v>1284052.87136</v>
      </c>
      <c r="E17" s="26" t="n">
        <f aca="false">(E15+E16)*Pref</f>
        <v>1368119.7545088</v>
      </c>
      <c r="F17" s="26" t="n">
        <f aca="false">(F15+F16)*Pref</f>
        <v>1440461.4022519</v>
      </c>
      <c r="G17" s="26" t="n">
        <f aca="false">(G15+G16)*Pref</f>
        <v>1475774.10441256</v>
      </c>
      <c r="H17" s="26" t="n">
        <f aca="false">(H15+H16)*Pref</f>
        <v>1496376.70139698</v>
      </c>
      <c r="I17" s="26" t="n">
        <f aca="false">(I15+I16)*Pref</f>
        <v>1522300.56262737</v>
      </c>
      <c r="J17" s="26" t="n">
        <f aca="false">(J15+J16)*Pref</f>
        <v>1533768.57710076</v>
      </c>
      <c r="K17" s="26" t="n">
        <f aca="false">(K15+K16)*Pref</f>
        <v>1578617.97638585</v>
      </c>
      <c r="L17" s="26" t="n">
        <f aca="false">(L15+L16)*Pref</f>
        <v>1591825.20941742</v>
      </c>
    </row>
    <row r="18" customFormat="false" ht="15" hidden="false" customHeight="false" outlineLevel="0" collapsed="false">
      <c r="A18" s="30" t="s">
        <v>148</v>
      </c>
      <c r="B18" s="26" t="n">
        <f aca="false">0</f>
        <v>0</v>
      </c>
      <c r="C18" s="26" t="n">
        <f aca="false">IF(C14&lt;0,-C14*Credit,0)</f>
        <v>1108947.292</v>
      </c>
      <c r="D18" s="26" t="n">
        <f aca="false">IF(D14&lt;0,-D14*Credit,0)</f>
        <v>0</v>
      </c>
      <c r="E18" s="26" t="n">
        <f aca="false">IF(E14&lt;0,-E14*Credit,0)</f>
        <v>0</v>
      </c>
      <c r="F18" s="26" t="n">
        <f aca="false">IF(F14&lt;0,-F14*Credit,0)</f>
        <v>0</v>
      </c>
      <c r="G18" s="26" t="n">
        <f aca="false">IF(G14&lt;0,-G14*Credit,0)</f>
        <v>0</v>
      </c>
      <c r="H18" s="26" t="n">
        <f aca="false">IF(H14&lt;0,-H14*Credit,0)</f>
        <v>0</v>
      </c>
      <c r="I18" s="26" t="n">
        <f aca="false">IF(I14&lt;0,-I14*Credit,0)</f>
        <v>0</v>
      </c>
      <c r="J18" s="26" t="n">
        <f aca="false">IF(J14&lt;0,-J14*Credit,0)</f>
        <v>0</v>
      </c>
      <c r="K18" s="26" t="n">
        <f aca="false">IF(K14&lt;0,-K14*Credit,0)</f>
        <v>0</v>
      </c>
      <c r="L18" s="26" t="n">
        <f aca="false">IF(L14&lt;0,-L14*Credit,0)</f>
        <v>0</v>
      </c>
    </row>
    <row r="19" customFormat="false" ht="15" hidden="false" customHeight="false" outlineLevel="0" collapsed="false">
      <c r="A19" s="30" t="s">
        <v>149</v>
      </c>
      <c r="B19" s="26" t="n">
        <f aca="false">0</f>
        <v>0</v>
      </c>
      <c r="C19" s="26" t="n">
        <f aca="false">IF(C14&gt;0,MIN(C14,C16+C17),0)</f>
        <v>0</v>
      </c>
      <c r="D19" s="26" t="n">
        <f aca="false">IF(D14&gt;0,MIN(D14,D16+D17),0)</f>
        <v>233216.832</v>
      </c>
      <c r="E19" s="26" t="n">
        <f aca="false">IF(E14&gt;0,MIN(E14,E16+E17),0)</f>
        <v>463849.15772</v>
      </c>
      <c r="F19" s="26" t="n">
        <f aca="false">IF(F14&gt;0,MIN(F14,F16+F17),0)</f>
        <v>999052.6252437</v>
      </c>
      <c r="G19" s="26" t="n">
        <f aca="false">IF(G14&gt;0,MIN(G14,G16+G17),0)</f>
        <v>1218241.6421073</v>
      </c>
      <c r="H19" s="26" t="n">
        <f aca="false">IF(H14&gt;0,MIN(H14,H16+H17),0)</f>
        <v>1172328.43601717</v>
      </c>
      <c r="I19" s="26" t="n">
        <f aca="false">IF(I14&gt;0,MIN(I14,I16+I17),0)</f>
        <v>1378950.38170992</v>
      </c>
      <c r="J19" s="26" t="n">
        <f aca="false">IF(J14&gt;0,MIN(J14,J16+J17),0)</f>
        <v>973151.086037178</v>
      </c>
      <c r="K19" s="26" t="n">
        <f aca="false">IF(K14&gt;0,MIN(K14,K16+K17),0)</f>
        <v>1413527.56349119</v>
      </c>
      <c r="L19" s="26" t="n">
        <f aca="false">IF(L14&gt;0,MIN(L14,L16+L17),0)</f>
        <v>6545773.03513518</v>
      </c>
    </row>
    <row r="20" customFormat="false" ht="15" hidden="false" customHeight="false" outlineLevel="0" collapsed="false">
      <c r="A20" s="30" t="s">
        <v>150</v>
      </c>
      <c r="B20" s="26" t="n">
        <f aca="false">0</f>
        <v>0</v>
      </c>
      <c r="C20" s="26" t="n">
        <f aca="false">IF(C14&gt;0,MIN(C14-C19,C15),0)</f>
        <v>0</v>
      </c>
      <c r="D20" s="26" t="n">
        <f aca="false">IF(D14&gt;0,MIN(D14-D19,D15),0)</f>
        <v>0</v>
      </c>
      <c r="E20" s="26" t="n">
        <f aca="false">IF(E14&gt;0,MIN(E14-E19,E15),0)</f>
        <v>0</v>
      </c>
      <c r="F20" s="26" t="n">
        <f aca="false">IF(F14&gt;0,MIN(F14-F19,F15),0)</f>
        <v>0</v>
      </c>
      <c r="G20" s="26" t="n">
        <f aca="false">IF(G14&gt;0,MIN(G14-G19,G15),0)</f>
        <v>0</v>
      </c>
      <c r="H20" s="26" t="n">
        <f aca="false">IF(H14&gt;0,MIN(H14-H19,H15),0)</f>
        <v>0</v>
      </c>
      <c r="I20" s="26" t="n">
        <f aca="false">IF(I14&gt;0,MIN(I14-I19,I15),0)</f>
        <v>0</v>
      </c>
      <c r="J20" s="26" t="n">
        <f aca="false">IF(J14&gt;0,MIN(J14-J19,J15),0)</f>
        <v>0</v>
      </c>
      <c r="K20" s="26" t="n">
        <f aca="false">IF(K14&gt;0,MIN(K14-K19,K15),0)</f>
        <v>0</v>
      </c>
      <c r="L20" s="26" t="n">
        <f aca="false">IF(L14&gt;0,MIN(L14-L19,L15),0)</f>
        <v>14943867.292</v>
      </c>
    </row>
    <row r="21" customFormat="false" ht="15" hidden="false" customHeight="false" outlineLevel="0" collapsed="false">
      <c r="A21" s="30" t="s">
        <v>151</v>
      </c>
      <c r="B21" s="26" t="n">
        <f aca="false">0</f>
        <v>0</v>
      </c>
      <c r="C21" s="26" t="n">
        <f aca="false">IF(C14&gt;0,C14-C19-C20,0)</f>
        <v>0</v>
      </c>
      <c r="D21" s="26" t="n">
        <f aca="false">IF(D14&gt;0,D14-D19-D20,0)</f>
        <v>0</v>
      </c>
      <c r="E21" s="26" t="n">
        <f aca="false">IF(E14&gt;0,E14-E19-E20,0)</f>
        <v>0</v>
      </c>
      <c r="F21" s="26" t="n">
        <f aca="false">IF(F14&gt;0,F14-F19-F20,0)</f>
        <v>0</v>
      </c>
      <c r="G21" s="26" t="n">
        <f aca="false">IF(G14&gt;0,G14-G19-G20,0)</f>
        <v>0</v>
      </c>
      <c r="H21" s="26" t="n">
        <f aca="false">IF(H14&gt;0,H14-H19-H20,0)</f>
        <v>0</v>
      </c>
      <c r="I21" s="26" t="n">
        <f aca="false">IF(I14&gt;0,I14-I19-I20,0)</f>
        <v>0</v>
      </c>
      <c r="J21" s="26" t="n">
        <f aca="false">IF(J14&gt;0,J14-J19-J20,0)</f>
        <v>0</v>
      </c>
      <c r="K21" s="26" t="n">
        <f aca="false">IF(K14&gt;0,K14-K19-K20,0)</f>
        <v>0</v>
      </c>
      <c r="L21" s="26" t="n">
        <f aca="false">IF(L14&gt;0,L14-L19-L20,0)</f>
        <v>1748715.96253878</v>
      </c>
    </row>
    <row r="22" customFormat="false" ht="15" hidden="false" customHeight="false" outlineLevel="0" collapsed="false">
      <c r="A22" s="30" t="s">
        <v>152</v>
      </c>
      <c r="B22" s="26" t="n">
        <f aca="false">0</f>
        <v>0</v>
      </c>
      <c r="C22" s="26" t="n">
        <f aca="false">B22+C19</f>
        <v>0</v>
      </c>
      <c r="D22" s="26" t="n">
        <f aca="false">C22+D19</f>
        <v>233216.832</v>
      </c>
      <c r="E22" s="26" t="n">
        <f aca="false">D22+E19</f>
        <v>697065.98972</v>
      </c>
      <c r="F22" s="26" t="n">
        <f aca="false">E22+F19</f>
        <v>1696118.6149637</v>
      </c>
      <c r="G22" s="26" t="n">
        <f aca="false">F22+G19</f>
        <v>2914360.257071</v>
      </c>
      <c r="H22" s="26" t="n">
        <f aca="false">G22+H19</f>
        <v>4086688.69308818</v>
      </c>
      <c r="I22" s="26" t="n">
        <f aca="false">H22+I19</f>
        <v>5465639.0747981</v>
      </c>
      <c r="J22" s="26" t="n">
        <f aca="false">I22+J19</f>
        <v>6438790.16083527</v>
      </c>
      <c r="K22" s="26" t="n">
        <f aca="false">J22+K19</f>
        <v>7852317.72432646</v>
      </c>
      <c r="L22" s="26" t="n">
        <f aca="false">K22+L19</f>
        <v>14398090.7594616</v>
      </c>
    </row>
    <row r="23" customFormat="false" ht="15" hidden="false" customHeight="false" outlineLevel="0" collapsed="false">
      <c r="A23" s="30" t="s">
        <v>153</v>
      </c>
      <c r="B23" s="26" t="n">
        <f aca="false">0</f>
        <v>0</v>
      </c>
      <c r="C23" s="26" t="n">
        <f aca="false">C22*CatchUp</f>
        <v>0</v>
      </c>
      <c r="D23" s="26" t="n">
        <f aca="false">D22*CatchUp</f>
        <v>58304.208</v>
      </c>
      <c r="E23" s="26" t="n">
        <f aca="false">E22*CatchUp</f>
        <v>174266.49743</v>
      </c>
      <c r="F23" s="26" t="n">
        <f aca="false">F22*CatchUp</f>
        <v>424029.653740925</v>
      </c>
      <c r="G23" s="26" t="n">
        <f aca="false">G22*CatchUp</f>
        <v>728590.064267751</v>
      </c>
      <c r="H23" s="26" t="n">
        <f aca="false">H22*CatchUp</f>
        <v>1021672.17327204</v>
      </c>
      <c r="I23" s="26" t="n">
        <f aca="false">I22*CatchUp</f>
        <v>1366409.76869952</v>
      </c>
      <c r="J23" s="26" t="n">
        <f aca="false">J22*CatchUp</f>
        <v>1609697.54020882</v>
      </c>
      <c r="K23" s="26" t="n">
        <f aca="false">K22*CatchUp</f>
        <v>1963079.43108162</v>
      </c>
      <c r="L23" s="26" t="n">
        <f aca="false">L22*CatchUp</f>
        <v>3599522.68986541</v>
      </c>
    </row>
    <row r="24" customFormat="false" ht="15" hidden="false" customHeight="false" outlineLevel="0" collapsed="false">
      <c r="A24" s="30" t="s">
        <v>154</v>
      </c>
      <c r="B24" s="26" t="n">
        <f aca="false">0</f>
        <v>0</v>
      </c>
      <c r="C24" s="26" t="n">
        <f aca="false">MIN(C21,MAX(0,C23-B26))</f>
        <v>0</v>
      </c>
      <c r="D24" s="26" t="n">
        <f aca="false">MIN(D21,MAX(0,D23-C26))</f>
        <v>0</v>
      </c>
      <c r="E24" s="26" t="n">
        <f aca="false">MIN(E21,MAX(0,E23-D26))</f>
        <v>0</v>
      </c>
      <c r="F24" s="26" t="n">
        <f aca="false">MIN(F21,MAX(0,F23-E26))</f>
        <v>0</v>
      </c>
      <c r="G24" s="26" t="n">
        <f aca="false">MIN(G21,MAX(0,G23-F26))</f>
        <v>0</v>
      </c>
      <c r="H24" s="26" t="n">
        <f aca="false">MIN(H21,MAX(0,H23-G26))</f>
        <v>0</v>
      </c>
      <c r="I24" s="26" t="n">
        <f aca="false">MIN(I21,MAX(0,I23-H26))</f>
        <v>0</v>
      </c>
      <c r="J24" s="26" t="n">
        <f aca="false">MIN(J21,MAX(0,J23-I26))</f>
        <v>0</v>
      </c>
      <c r="K24" s="26" t="n">
        <f aca="false">MIN(K21,MAX(0,K23-J26))</f>
        <v>0</v>
      </c>
      <c r="L24" s="26" t="n">
        <f aca="false">MIN(L21,MAX(0,L23-K26))</f>
        <v>1748715.96253878</v>
      </c>
    </row>
    <row r="25" customFormat="false" ht="15" hidden="false" customHeight="false" outlineLevel="0" collapsed="false">
      <c r="A25" s="30" t="s">
        <v>155</v>
      </c>
      <c r="B25" s="26" t="n">
        <f aca="false">0</f>
        <v>0</v>
      </c>
      <c r="C25" s="26" t="n">
        <f aca="false">(C21-C24)*Promote</f>
        <v>0</v>
      </c>
      <c r="D25" s="26" t="n">
        <f aca="false">(D21-D24)*Promote</f>
        <v>0</v>
      </c>
      <c r="E25" s="26" t="n">
        <f aca="false">(E21-E24)*Promote</f>
        <v>0</v>
      </c>
      <c r="F25" s="26" t="n">
        <f aca="false">(F21-F24)*Promote</f>
        <v>0</v>
      </c>
      <c r="G25" s="26" t="n">
        <f aca="false">(G21-G24)*Promote</f>
        <v>0</v>
      </c>
      <c r="H25" s="26" t="n">
        <f aca="false">(H21-H24)*Promote</f>
        <v>0</v>
      </c>
      <c r="I25" s="26" t="n">
        <f aca="false">(I21-I24)*Promote</f>
        <v>0</v>
      </c>
      <c r="J25" s="26" t="n">
        <f aca="false">(J21-J24)*Promote</f>
        <v>0</v>
      </c>
      <c r="K25" s="26" t="n">
        <f aca="false">(K21-K24)*Promote</f>
        <v>0</v>
      </c>
      <c r="L25" s="26" t="n">
        <f aca="false">(L21-L24)*Promote</f>
        <v>0</v>
      </c>
    </row>
    <row r="26" customFormat="false" ht="15" hidden="false" customHeight="false" outlineLevel="0" collapsed="false">
      <c r="A26" s="30" t="s">
        <v>156</v>
      </c>
      <c r="B26" s="26" t="n">
        <f aca="false">0</f>
        <v>0</v>
      </c>
      <c r="C26" s="26" t="n">
        <f aca="false">B26+C24+C25</f>
        <v>0</v>
      </c>
      <c r="D26" s="26" t="n">
        <f aca="false">C26+D24+D25</f>
        <v>0</v>
      </c>
      <c r="E26" s="26" t="n">
        <f aca="false">D26+E24+E25</f>
        <v>0</v>
      </c>
      <c r="F26" s="26" t="n">
        <f aca="false">E26+F24+F25</f>
        <v>0</v>
      </c>
      <c r="G26" s="26" t="n">
        <f aca="false">F26+G24+G25</f>
        <v>0</v>
      </c>
      <c r="H26" s="26" t="n">
        <f aca="false">G26+H24+H25</f>
        <v>0</v>
      </c>
      <c r="I26" s="26" t="n">
        <f aca="false">H26+I24+I25</f>
        <v>0</v>
      </c>
      <c r="J26" s="26" t="n">
        <f aca="false">I26+J24+J25</f>
        <v>0</v>
      </c>
      <c r="K26" s="26" t="n">
        <f aca="false">J26+K24+K25</f>
        <v>0</v>
      </c>
      <c r="L26" s="26" t="n">
        <f aca="false">K26+L24+L25</f>
        <v>1748715.96253878</v>
      </c>
    </row>
    <row r="27" customFormat="false" ht="15" hidden="false" customHeight="false" outlineLevel="0" collapsed="false">
      <c r="A27" s="31" t="s">
        <v>157</v>
      </c>
      <c r="B27" s="12" t="n">
        <f aca="false">B14</f>
        <v>-13834920</v>
      </c>
      <c r="C27" s="12" t="n">
        <f aca="false">IF(C14&lt;0,C14,C19+C20+(C21-C24)*(1-Promote))</f>
        <v>-1108947.292</v>
      </c>
      <c r="D27" s="12" t="n">
        <f aca="false">IF(D14&lt;0,D14,D19+D20+(D21-D24)*(1-Promote))</f>
        <v>233216.832</v>
      </c>
      <c r="E27" s="12" t="n">
        <f aca="false">IF(E14&lt;0,E14,E19+E20+(E21-E24)*(1-Promote))</f>
        <v>463849.15772</v>
      </c>
      <c r="F27" s="12" t="n">
        <f aca="false">IF(F14&lt;0,F14,F19+F20+(F21-F24)*(1-Promote))</f>
        <v>999052.6252437</v>
      </c>
      <c r="G27" s="12" t="n">
        <f aca="false">IF(G14&lt;0,G14,G19+G20+(G21-G24)*(1-Promote))</f>
        <v>1218241.6421073</v>
      </c>
      <c r="H27" s="12" t="n">
        <f aca="false">IF(H14&lt;0,H14,H19+H20+(H21-H24)*(1-Promote))</f>
        <v>1172328.43601717</v>
      </c>
      <c r="I27" s="12" t="n">
        <f aca="false">IF(I14&lt;0,I14,I19+I20+(I21-I24)*(1-Promote))</f>
        <v>1378950.38170992</v>
      </c>
      <c r="J27" s="12" t="n">
        <f aca="false">IF(J14&lt;0,J14,J19+J20+(J21-J24)*(1-Promote))</f>
        <v>973151.086037178</v>
      </c>
      <c r="K27" s="12" t="n">
        <f aca="false">IF(K14&lt;0,K14,K19+K20+(K21-K24)*(1-Promote))</f>
        <v>1413527.56349119</v>
      </c>
      <c r="L27" s="12" t="n">
        <f aca="false">IF(L14&lt;0,L14,L19+L20+(L21-L24)*(1-Promote))</f>
        <v>21489640.3271352</v>
      </c>
    </row>
    <row r="28" customFormat="false" ht="15" hidden="false" customHeight="false" outlineLevel="0" collapsed="false">
      <c r="A28" s="30" t="s">
        <v>158</v>
      </c>
      <c r="B28" s="26" t="n">
        <f aca="false">-B14</f>
        <v>13834920</v>
      </c>
      <c r="C28" s="26" t="n">
        <f aca="false">C15-C20+C18</f>
        <v>14943867.292</v>
      </c>
      <c r="D28" s="26" t="n">
        <f aca="false">D15-D20+D18</f>
        <v>14943867.292</v>
      </c>
      <c r="E28" s="26" t="n">
        <f aca="false">E15-E20+E18</f>
        <v>14943867.292</v>
      </c>
      <c r="F28" s="26" t="n">
        <f aca="false">F15-F20+F18</f>
        <v>14943867.292</v>
      </c>
      <c r="G28" s="26" t="n">
        <f aca="false">G15-G20+G18</f>
        <v>14943867.292</v>
      </c>
      <c r="H28" s="26" t="n">
        <f aca="false">H15-H20+H18</f>
        <v>14943867.292</v>
      </c>
      <c r="I28" s="26" t="n">
        <f aca="false">I15-I20+I18</f>
        <v>14943867.292</v>
      </c>
      <c r="J28" s="26" t="n">
        <f aca="false">J15-J20+J18</f>
        <v>14943867.292</v>
      </c>
      <c r="K28" s="26" t="n">
        <f aca="false">K15-K20+K18</f>
        <v>14943867.292</v>
      </c>
      <c r="L28" s="26" t="n">
        <f aca="false">L15-L20+L18</f>
        <v>0</v>
      </c>
    </row>
    <row r="29" customFormat="false" ht="15" hidden="false" customHeight="false" outlineLevel="0" collapsed="false">
      <c r="A29" s="30" t="s">
        <v>159</v>
      </c>
      <c r="B29" s="26" t="n">
        <f aca="false">0</f>
        <v>0</v>
      </c>
      <c r="C29" s="26" t="n">
        <f aca="false">C16+C17-C19</f>
        <v>1106793.6</v>
      </c>
      <c r="D29" s="26" t="n">
        <f aca="false">D16+D17-D19</f>
        <v>2157629.63936</v>
      </c>
      <c r="E29" s="26" t="n">
        <f aca="false">E16+E17-E19</f>
        <v>3061900.2361488</v>
      </c>
      <c r="F29" s="26" t="n">
        <f aca="false">F16+F17-F19</f>
        <v>3503309.013157</v>
      </c>
      <c r="G29" s="26" t="n">
        <f aca="false">G16+G17-G19</f>
        <v>3760841.47546226</v>
      </c>
      <c r="H29" s="26" t="n">
        <f aca="false">H16+H17-H19</f>
        <v>4084889.74084207</v>
      </c>
      <c r="I29" s="26" t="n">
        <f aca="false">I16+I17-I19</f>
        <v>4228239.92175951</v>
      </c>
      <c r="J29" s="26" t="n">
        <f aca="false">J16+J17-J19</f>
        <v>4788857.4128231</v>
      </c>
      <c r="K29" s="26" t="n">
        <f aca="false">K16+K17-K19</f>
        <v>4953947.82571776</v>
      </c>
      <c r="L29" s="26" t="n">
        <f aca="false">L16+L17-L19</f>
        <v>0</v>
      </c>
    </row>
    <row r="31" customFormat="false" ht="15" hidden="false" customHeight="false" outlineLevel="0" collapsed="false">
      <c r="A31" s="4" t="s">
        <v>160</v>
      </c>
      <c r="B31" s="6"/>
      <c r="C31" s="6"/>
      <c r="D31" s="6"/>
      <c r="E31" s="6"/>
      <c r="F31" s="6"/>
      <c r="G31" s="6"/>
      <c r="H31" s="6"/>
      <c r="I31" s="6"/>
      <c r="J31" s="6"/>
      <c r="K31" s="6"/>
      <c r="L31" s="6"/>
    </row>
    <row r="33" customFormat="false" ht="15" hidden="false" customHeight="false" outlineLevel="0" collapsed="false">
      <c r="A33" s="11" t="s">
        <v>161</v>
      </c>
      <c r="B33" s="12" t="n">
        <f aca="false">-SUMIF(B14:L14,"&lt;0")</f>
        <v>14943867.292</v>
      </c>
    </row>
    <row r="34" customFormat="false" ht="15" hidden="false" customHeight="false" outlineLevel="0" collapsed="false">
      <c r="A34" s="7" t="s">
        <v>162</v>
      </c>
      <c r="B34" s="21" t="n">
        <f aca="false">SUMIF(B14:L14,"&gt;0")</f>
        <v>31090674.0140004</v>
      </c>
    </row>
    <row r="35" customFormat="false" ht="15" hidden="false" customHeight="false" outlineLevel="0" collapsed="false">
      <c r="A35" s="11" t="s">
        <v>149</v>
      </c>
      <c r="B35" s="12" t="n">
        <f aca="false">L22</f>
        <v>14398090.7594616</v>
      </c>
    </row>
    <row r="36" customFormat="false" ht="15" hidden="false" customHeight="false" outlineLevel="0" collapsed="false">
      <c r="A36" s="7" t="s">
        <v>150</v>
      </c>
      <c r="B36" s="21" t="n">
        <f aca="false">SUM(B20:L20)</f>
        <v>14943867.292</v>
      </c>
    </row>
    <row r="37" customFormat="false" ht="15" hidden="false" customHeight="false" outlineLevel="0" collapsed="false">
      <c r="A37" s="11" t="s">
        <v>163</v>
      </c>
      <c r="B37" s="12" t="n">
        <f aca="false">L26</f>
        <v>1748715.96253878</v>
      </c>
    </row>
    <row r="38" customFormat="false" ht="15" hidden="false" customHeight="false" outlineLevel="0" collapsed="false">
      <c r="A38" s="7" t="s">
        <v>164</v>
      </c>
      <c r="B38" s="21" t="n">
        <f aca="false">SUM(C27:L27)</f>
        <v>28233010.7594616</v>
      </c>
    </row>
    <row r="39" customFormat="false" ht="15" hidden="false" customHeight="false" outlineLevel="0" collapsed="false">
      <c r="A39" s="7" t="s">
        <v>165</v>
      </c>
      <c r="B39" s="21" t="n">
        <f aca="false">SUMIF(B27:L27,"&gt;0")</f>
        <v>29341958.0514616</v>
      </c>
    </row>
    <row r="40" customFormat="false" ht="15" hidden="false" customHeight="false" outlineLevel="0" collapsed="false">
      <c r="A40" s="11" t="s">
        <v>166</v>
      </c>
      <c r="B40" s="27" t="n">
        <f aca="false">IRR(B27:L27)</f>
        <v>0.08</v>
      </c>
      <c r="D40" s="7" t="s">
        <v>167</v>
      </c>
    </row>
    <row r="41" customFormat="false" ht="15" hidden="false" customHeight="false" outlineLevel="0" collapsed="false">
      <c r="A41" s="11" t="s">
        <v>168</v>
      </c>
      <c r="B41" s="12" t="n">
        <f aca="false">B39-B33-B35</f>
        <v>0</v>
      </c>
    </row>
    <row r="43" customFormat="false" ht="15" hidden="false" customHeight="false" outlineLevel="0" collapsed="false">
      <c r="A43" s="4" t="s">
        <v>169</v>
      </c>
      <c r="B43" s="6"/>
      <c r="C43" s="6"/>
      <c r="D43" s="6"/>
      <c r="E43" s="6"/>
      <c r="F43" s="6"/>
      <c r="G43" s="6"/>
      <c r="H43" s="6"/>
      <c r="I43" s="6"/>
      <c r="J43" s="6"/>
      <c r="K43" s="6"/>
      <c r="L43" s="6"/>
    </row>
    <row r="45" customFormat="false" ht="15" hidden="false" customHeight="false" outlineLevel="0" collapsed="false">
      <c r="A45" s="7" t="s">
        <v>47</v>
      </c>
      <c r="B45" s="21" t="n">
        <f aca="false">AMTotal</f>
        <v>2114640</v>
      </c>
    </row>
    <row r="46" customFormat="false" ht="15" hidden="false" customHeight="false" outlineLevel="0" collapsed="false">
      <c r="A46" s="7" t="s">
        <v>170</v>
      </c>
      <c r="B46" s="21" t="n">
        <f aca="false">B37</f>
        <v>1748715.96253878</v>
      </c>
    </row>
    <row r="47" customFormat="false" ht="15" hidden="false" customHeight="false" outlineLevel="0" collapsed="false">
      <c r="A47" s="11" t="s">
        <v>171</v>
      </c>
      <c r="B47" s="12" t="n">
        <f aca="false">AMTotal+B37</f>
        <v>3863355.96253878</v>
      </c>
    </row>
    <row r="48" customFormat="false" ht="15" hidden="false" customHeight="false" outlineLevel="0" collapsed="false">
      <c r="A48" s="11" t="s">
        <v>172</v>
      </c>
      <c r="B48" s="12" t="n">
        <f aca="false">B41</f>
        <v>0</v>
      </c>
    </row>
    <row r="50" customFormat="false" ht="15" hidden="false" customHeight="false" outlineLevel="0" collapsed="false">
      <c r="A50" s="4" t="s">
        <v>173</v>
      </c>
      <c r="B50" s="6"/>
      <c r="C50" s="6"/>
      <c r="D50" s="6"/>
      <c r="E50" s="6"/>
      <c r="F50" s="6"/>
      <c r="G50" s="6"/>
      <c r="H50" s="6"/>
      <c r="I50" s="6"/>
      <c r="J50" s="6"/>
      <c r="K50" s="6"/>
      <c r="L50" s="6"/>
    </row>
    <row r="52" customFormat="false" ht="15" hidden="false" customHeight="false" outlineLevel="0" collapsed="false">
      <c r="A52" s="18" t="s">
        <v>174</v>
      </c>
    </row>
    <row r="54" customFormat="false" ht="15" hidden="false" customHeight="false" outlineLevel="0" collapsed="false">
      <c r="A54" s="11" t="s">
        <v>175</v>
      </c>
      <c r="B54" s="12" t="n">
        <f aca="false">L21</f>
        <v>1748715.96253878</v>
      </c>
    </row>
    <row r="55" customFormat="false" ht="15" hidden="false" customHeight="false" outlineLevel="0" collapsed="false">
      <c r="A55" s="7" t="s">
        <v>176</v>
      </c>
      <c r="B55" s="21" t="n">
        <f aca="false">B54*Promote</f>
        <v>349743.192507757</v>
      </c>
    </row>
    <row r="56" customFormat="false" ht="15" hidden="false" customHeight="false" outlineLevel="0" collapsed="false">
      <c r="A56" s="7" t="s">
        <v>177</v>
      </c>
      <c r="B56" s="21" t="n">
        <f aca="false">B54*(1-Promote)</f>
        <v>1398972.77003103</v>
      </c>
    </row>
    <row r="57" customFormat="false" ht="15" hidden="false" customHeight="false" outlineLevel="0" collapsed="false">
      <c r="A57" s="11" t="s">
        <v>178</v>
      </c>
      <c r="B57" s="12" t="n">
        <f aca="false">B54-B55</f>
        <v>1398972.77003103</v>
      </c>
    </row>
  </sheetData>
  <dataValidations count="1">
    <dataValidation allowBlank="false" errorStyle="stop" operator="between" showDropDown="false" showErrorMessage="false" showInputMessage="false" sqref="B9"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12" min="2" style="0" width="14"/>
  </cols>
  <sheetData>
    <row r="1" customFormat="false" ht="24" hidden="false" customHeight="true" outlineLevel="0" collapsed="false">
      <c r="A1" s="1" t="s">
        <v>179</v>
      </c>
    </row>
    <row r="2" customFormat="false" ht="15" hidden="false" customHeight="false" outlineLevel="0" collapsed="false">
      <c r="A2" s="2" t="s">
        <v>180</v>
      </c>
    </row>
    <row r="3" customFormat="false" ht="15" hidden="false" customHeight="false" outlineLevel="0" collapsed="false">
      <c r="A3" s="3"/>
      <c r="B3" s="3"/>
      <c r="C3" s="3"/>
      <c r="D3" s="3"/>
      <c r="E3" s="3"/>
      <c r="F3" s="3"/>
      <c r="G3" s="3"/>
      <c r="H3" s="3"/>
      <c r="I3" s="3"/>
      <c r="J3" s="3"/>
      <c r="K3" s="3"/>
      <c r="L3" s="3"/>
    </row>
    <row r="5" customFormat="false" ht="15" hidden="false" customHeight="false" outlineLevel="0" collapsed="false">
      <c r="A5" s="4" t="s">
        <v>181</v>
      </c>
      <c r="B5" s="6"/>
      <c r="C5" s="6"/>
      <c r="D5" s="6"/>
      <c r="E5" s="6"/>
      <c r="F5" s="6"/>
      <c r="G5" s="6"/>
      <c r="H5" s="6"/>
      <c r="I5" s="6"/>
      <c r="J5" s="6"/>
      <c r="K5" s="6"/>
      <c r="L5" s="6"/>
    </row>
    <row r="7" customFormat="false" ht="30" hidden="false" customHeight="true" outlineLevel="0" collapsed="false">
      <c r="A7" s="16"/>
      <c r="B7" s="17" t="s">
        <v>182</v>
      </c>
      <c r="C7" s="17" t="s">
        <v>183</v>
      </c>
      <c r="D7" s="17"/>
      <c r="E7" s="17"/>
      <c r="F7" s="17"/>
      <c r="G7" s="17"/>
      <c r="H7" s="17"/>
      <c r="I7" s="17"/>
      <c r="J7" s="17"/>
      <c r="K7" s="17"/>
    </row>
    <row r="8" customFormat="false" ht="15" hidden="false" customHeight="false" outlineLevel="0" collapsed="false">
      <c r="A8" s="7" t="s">
        <v>184</v>
      </c>
      <c r="B8" s="32" t="n">
        <f aca="false">Gearing</f>
        <v>0.55</v>
      </c>
      <c r="C8" s="32" t="n">
        <f aca="false">GearAlt</f>
        <v>0.35</v>
      </c>
    </row>
    <row r="9" customFormat="false" ht="15" hidden="false" customHeight="false" outlineLevel="0" collapsed="false">
      <c r="A9" s="7" t="s">
        <v>185</v>
      </c>
      <c r="B9" s="21" t="n">
        <f aca="false">Price*B8</f>
        <v>14520000</v>
      </c>
      <c r="C9" s="21" t="n">
        <f aca="false">Price*C8</f>
        <v>9240000</v>
      </c>
    </row>
    <row r="10" customFormat="false" ht="15" hidden="false" customHeight="false" outlineLevel="0" collapsed="false">
      <c r="A10" s="7" t="s">
        <v>126</v>
      </c>
      <c r="B10" s="21" t="n">
        <f aca="false">B9*ArrPct</f>
        <v>159720</v>
      </c>
      <c r="C10" s="21" t="n">
        <f aca="false">C9*ArrPct</f>
        <v>101640</v>
      </c>
    </row>
    <row r="11" customFormat="false" ht="15" hidden="false" customHeight="false" outlineLevel="0" collapsed="false">
      <c r="A11" s="7" t="s">
        <v>186</v>
      </c>
      <c r="B11" s="21" t="n">
        <f aca="false">B9*DebtRate</f>
        <v>631620</v>
      </c>
      <c r="C11" s="21" t="n">
        <f aca="false">C9*DebtRate</f>
        <v>401940</v>
      </c>
    </row>
    <row r="12" customFormat="false" ht="15" hidden="false" customHeight="false" outlineLevel="0" collapsed="false">
      <c r="A12" s="11" t="s">
        <v>187</v>
      </c>
      <c r="B12" s="12" t="n">
        <f aca="false">TotCost+B10-B9</f>
        <v>13834920</v>
      </c>
      <c r="C12" s="12" t="n">
        <f aca="false">TotCost+C10-C9</f>
        <v>19056840</v>
      </c>
    </row>
    <row r="13" customFormat="false" ht="15" hidden="false" customHeight="false" outlineLevel="0" collapsed="false">
      <c r="A13" s="7" t="s">
        <v>188</v>
      </c>
      <c r="B13" s="33" t="n">
        <f aca="false">'Income account'!E43/B11</f>
        <v>2.99695534898547</v>
      </c>
      <c r="C13" s="33" t="n">
        <f aca="false">'Income account'!E43/C11</f>
        <v>4.70950126269145</v>
      </c>
    </row>
    <row r="15" customFormat="false" ht="15" hidden="false" customHeight="false" outlineLevel="0" collapsed="false">
      <c r="A15" s="4" t="s">
        <v>189</v>
      </c>
      <c r="B15" s="6"/>
      <c r="C15" s="6"/>
      <c r="D15" s="6"/>
      <c r="E15" s="6"/>
      <c r="F15" s="6"/>
      <c r="G15" s="6"/>
      <c r="H15" s="6"/>
      <c r="I15" s="6"/>
      <c r="J15" s="6"/>
      <c r="K15" s="6"/>
      <c r="L15" s="6"/>
    </row>
    <row r="17" customFormat="false" ht="15" hidden="false" customHeight="false" outlineLevel="0" collapsed="false">
      <c r="A17" s="24" t="s">
        <v>55</v>
      </c>
      <c r="B17" s="25" t="n">
        <v>0</v>
      </c>
      <c r="C17" s="25" t="n">
        <f aca="false">B17+1</f>
        <v>1</v>
      </c>
      <c r="D17" s="25" t="n">
        <f aca="false">C17+1</f>
        <v>2</v>
      </c>
      <c r="E17" s="25" t="n">
        <f aca="false">D17+1</f>
        <v>3</v>
      </c>
      <c r="F17" s="25" t="n">
        <f aca="false">E17+1</f>
        <v>4</v>
      </c>
      <c r="G17" s="25" t="n">
        <f aca="false">F17+1</f>
        <v>5</v>
      </c>
      <c r="H17" s="25" t="n">
        <f aca="false">G17+1</f>
        <v>6</v>
      </c>
      <c r="I17" s="25" t="n">
        <f aca="false">H17+1</f>
        <v>7</v>
      </c>
      <c r="J17" s="25" t="n">
        <f aca="false">I17+1</f>
        <v>8</v>
      </c>
      <c r="K17" s="25" t="n">
        <f aca="false">J17+1</f>
        <v>9</v>
      </c>
      <c r="L17" s="25" t="n">
        <f aca="false">K17+1</f>
        <v>10</v>
      </c>
    </row>
    <row r="18" customFormat="false" ht="15" hidden="false" customHeight="false" outlineLevel="0" collapsed="false">
      <c r="A18" s="11" t="s">
        <v>182</v>
      </c>
      <c r="B18" s="26" t="n">
        <f aca="false">-$B$12</f>
        <v>-13834920</v>
      </c>
      <c r="C18" s="26" t="n">
        <f aca="false">'Cash flows'!C24-$B$11</f>
        <v>-1108947.292</v>
      </c>
      <c r="D18" s="26" t="n">
        <f aca="false">'Cash flows'!D24-$B$11</f>
        <v>233216.832</v>
      </c>
      <c r="E18" s="26" t="n">
        <f aca="false">'Cash flows'!E24-$B$11</f>
        <v>463849.15772</v>
      </c>
      <c r="F18" s="26" t="n">
        <f aca="false">'Cash flows'!F24-$B$11</f>
        <v>999052.6252437</v>
      </c>
      <c r="G18" s="26" t="n">
        <f aca="false">'Cash flows'!G24-$B$11</f>
        <v>1218241.6421073</v>
      </c>
      <c r="H18" s="26" t="n">
        <f aca="false">'Cash flows'!H24-$B$11</f>
        <v>1172328.43601717</v>
      </c>
      <c r="I18" s="26" t="n">
        <f aca="false">'Cash flows'!I24-$B$11</f>
        <v>1378950.38170992</v>
      </c>
      <c r="J18" s="26" t="n">
        <f aca="false">'Cash flows'!J24-$B$11</f>
        <v>973151.086037178</v>
      </c>
      <c r="K18" s="26" t="n">
        <f aca="false">'Cash flows'!K24-$B$11</f>
        <v>1413527.56349119</v>
      </c>
      <c r="L18" s="26" t="n">
        <f aca="false">'Cash flows'!L24-$B$11-$B$9</f>
        <v>23238356.289674</v>
      </c>
    </row>
    <row r="19" customFormat="false" ht="15" hidden="false" customHeight="false" outlineLevel="0" collapsed="false">
      <c r="A19" s="11" t="s">
        <v>183</v>
      </c>
      <c r="B19" s="26" t="n">
        <f aca="false">-$C$12</f>
        <v>-19056840</v>
      </c>
      <c r="C19" s="26" t="n">
        <f aca="false">'Cash flows'!C24-$C$11</f>
        <v>-879267.292</v>
      </c>
      <c r="D19" s="26" t="n">
        <f aca="false">'Cash flows'!D24-$C$11</f>
        <v>462896.832</v>
      </c>
      <c r="E19" s="26" t="n">
        <f aca="false">'Cash flows'!E24-$C$11</f>
        <v>693529.15772</v>
      </c>
      <c r="F19" s="26" t="n">
        <f aca="false">'Cash flows'!F24-$C$11</f>
        <v>1228732.6252437</v>
      </c>
      <c r="G19" s="26" t="n">
        <f aca="false">'Cash flows'!G24-$C$11</f>
        <v>1447921.6421073</v>
      </c>
      <c r="H19" s="26" t="n">
        <f aca="false">'Cash flows'!H24-$C$11</f>
        <v>1402008.43601717</v>
      </c>
      <c r="I19" s="26" t="n">
        <f aca="false">'Cash flows'!I24-$C$11</f>
        <v>1608630.38170992</v>
      </c>
      <c r="J19" s="26" t="n">
        <f aca="false">'Cash flows'!J24-$C$11</f>
        <v>1202831.08603718</v>
      </c>
      <c r="K19" s="26" t="n">
        <f aca="false">'Cash flows'!K24-$C$11</f>
        <v>1643207.56349119</v>
      </c>
      <c r="L19" s="26" t="n">
        <f aca="false">'Cash flows'!L24-$C$11-$C$9</f>
        <v>28748036.289674</v>
      </c>
    </row>
    <row r="20" customFormat="false" ht="15" hidden="false" customHeight="false" outlineLevel="0" collapsed="false">
      <c r="A20" s="11" t="s">
        <v>190</v>
      </c>
      <c r="B20" s="27" t="n">
        <f aca="false">IRR(B18:L18)</f>
        <v>0.0866467604777335</v>
      </c>
      <c r="C20" s="27" t="n">
        <f aca="false">IRR(B19:L19)</f>
        <v>0.0772991345319895</v>
      </c>
    </row>
    <row r="21" customFormat="false" ht="15" hidden="false" customHeight="false" outlineLevel="0" collapsed="false">
      <c r="A21" s="7" t="s">
        <v>134</v>
      </c>
      <c r="B21" s="34" t="n">
        <f aca="false">SUM(C18:L18)/B12</f>
        <v>2.16710517458723</v>
      </c>
      <c r="C21" s="34" t="n">
        <f aca="false">SUM(C19:L19)/C12</f>
        <v>1.97086855543733</v>
      </c>
    </row>
    <row r="22" customFormat="false" ht="15" hidden="false" customHeight="false" outlineLevel="0" collapsed="false">
      <c r="A22" s="7" t="s">
        <v>191</v>
      </c>
      <c r="B22" s="21" t="n">
        <f aca="false">C18</f>
        <v>-1108947.292</v>
      </c>
      <c r="C22" s="21" t="n">
        <f aca="false">C19</f>
        <v>-879267.292</v>
      </c>
    </row>
    <row r="24" customFormat="false" ht="15" hidden="false" customHeight="false" outlineLevel="0" collapsed="false">
      <c r="A24" s="4" t="s">
        <v>192</v>
      </c>
      <c r="B24" s="6"/>
      <c r="C24" s="6"/>
      <c r="D24" s="6"/>
      <c r="E24" s="6"/>
      <c r="F24" s="6"/>
      <c r="G24" s="6"/>
      <c r="H24" s="6"/>
      <c r="I24" s="6"/>
      <c r="J24" s="6"/>
      <c r="K24" s="6"/>
      <c r="L24" s="6"/>
    </row>
    <row r="26" customFormat="false" ht="15" hidden="false" customHeight="false" outlineLevel="0" collapsed="false">
      <c r="A26" s="24" t="s">
        <v>55</v>
      </c>
      <c r="B26" s="25" t="n">
        <v>0</v>
      </c>
      <c r="C26" s="25" t="n">
        <f aca="false">B26+1</f>
        <v>1</v>
      </c>
      <c r="D26" s="25" t="n">
        <f aca="false">C26+1</f>
        <v>2</v>
      </c>
      <c r="E26" s="25" t="n">
        <f aca="false">D26+1</f>
        <v>3</v>
      </c>
      <c r="F26" s="25" t="n">
        <f aca="false">E26+1</f>
        <v>4</v>
      </c>
      <c r="G26" s="25" t="n">
        <f aca="false">F26+1</f>
        <v>5</v>
      </c>
      <c r="H26" s="25" t="n">
        <f aca="false">G26+1</f>
        <v>6</v>
      </c>
      <c r="I26" s="25" t="n">
        <f aca="false">H26+1</f>
        <v>7</v>
      </c>
      <c r="J26" s="25" t="n">
        <f aca="false">I26+1</f>
        <v>8</v>
      </c>
      <c r="K26" s="25" t="n">
        <f aca="false">J26+1</f>
        <v>9</v>
      </c>
      <c r="L26" s="25" t="n">
        <f aca="false">K26+1</f>
        <v>10</v>
      </c>
    </row>
    <row r="27" customFormat="false" ht="15" hidden="false" customHeight="false" outlineLevel="0" collapsed="false">
      <c r="A27" s="7" t="s">
        <v>144</v>
      </c>
      <c r="B27" s="26" t="n">
        <f aca="false">B18</f>
        <v>-13834920</v>
      </c>
      <c r="C27" s="26" t="n">
        <f aca="false">C18</f>
        <v>-1108947.292</v>
      </c>
      <c r="D27" s="26" t="n">
        <f aca="false">D18</f>
        <v>233216.832</v>
      </c>
      <c r="E27" s="26" t="n">
        <f aca="false">E18</f>
        <v>463849.15772</v>
      </c>
      <c r="F27" s="26" t="n">
        <f aca="false">F18</f>
        <v>999052.6252437</v>
      </c>
      <c r="G27" s="26" t="n">
        <f aca="false">G18</f>
        <v>1218241.6421073</v>
      </c>
      <c r="H27" s="26" t="n">
        <f aca="false">H18</f>
        <v>1172328.43601717</v>
      </c>
      <c r="I27" s="26" t="n">
        <f aca="false">I18</f>
        <v>1378950.38170992</v>
      </c>
      <c r="J27" s="26" t="n">
        <f aca="false">J18</f>
        <v>973151.086037178</v>
      </c>
      <c r="K27" s="26" t="n">
        <f aca="false">K18</f>
        <v>1413527.56349119</v>
      </c>
      <c r="L27" s="26" t="n">
        <f aca="false">L18</f>
        <v>23238356.289674</v>
      </c>
    </row>
    <row r="28" customFormat="false" ht="15" hidden="false" customHeight="false" outlineLevel="0" collapsed="false">
      <c r="A28" s="30" t="s">
        <v>145</v>
      </c>
      <c r="B28" s="26" t="n">
        <f aca="false">0</f>
        <v>0</v>
      </c>
      <c r="C28" s="26" t="n">
        <f aca="false">B41</f>
        <v>13834920</v>
      </c>
      <c r="D28" s="26" t="n">
        <f aca="false">C41</f>
        <v>14943867.292</v>
      </c>
      <c r="E28" s="26" t="n">
        <f aca="false">D41</f>
        <v>14943867.292</v>
      </c>
      <c r="F28" s="26" t="n">
        <f aca="false">E41</f>
        <v>14943867.292</v>
      </c>
      <c r="G28" s="26" t="n">
        <f aca="false">F41</f>
        <v>14943867.292</v>
      </c>
      <c r="H28" s="26" t="n">
        <f aca="false">G41</f>
        <v>14943867.292</v>
      </c>
      <c r="I28" s="26" t="n">
        <f aca="false">H41</f>
        <v>14943867.292</v>
      </c>
      <c r="J28" s="26" t="n">
        <f aca="false">I41</f>
        <v>14943867.292</v>
      </c>
      <c r="K28" s="26" t="n">
        <f aca="false">J41</f>
        <v>14943867.292</v>
      </c>
      <c r="L28" s="26" t="n">
        <f aca="false">K41</f>
        <v>14943867.292</v>
      </c>
    </row>
    <row r="29" customFormat="false" ht="15" hidden="false" customHeight="false" outlineLevel="0" collapsed="false">
      <c r="A29" s="30" t="s">
        <v>146</v>
      </c>
      <c r="B29" s="26" t="n">
        <f aca="false">0</f>
        <v>0</v>
      </c>
      <c r="C29" s="26" t="n">
        <f aca="false">B42</f>
        <v>0</v>
      </c>
      <c r="D29" s="26" t="n">
        <f aca="false">C42</f>
        <v>1106793.6</v>
      </c>
      <c r="E29" s="26" t="n">
        <f aca="false">D42</f>
        <v>2157629.63936</v>
      </c>
      <c r="F29" s="26" t="n">
        <f aca="false">E42</f>
        <v>3061900.2361488</v>
      </c>
      <c r="G29" s="26" t="n">
        <f aca="false">F42</f>
        <v>3503309.013157</v>
      </c>
      <c r="H29" s="26" t="n">
        <f aca="false">G42</f>
        <v>3760841.47546226</v>
      </c>
      <c r="I29" s="26" t="n">
        <f aca="false">H42</f>
        <v>4084889.74084207</v>
      </c>
      <c r="J29" s="26" t="n">
        <f aca="false">I42</f>
        <v>4228239.92175951</v>
      </c>
      <c r="K29" s="26" t="n">
        <f aca="false">J42</f>
        <v>4788857.4128231</v>
      </c>
      <c r="L29" s="26" t="n">
        <f aca="false">K42</f>
        <v>4953947.82571776</v>
      </c>
    </row>
    <row r="30" customFormat="false" ht="15" hidden="false" customHeight="false" outlineLevel="0" collapsed="false">
      <c r="A30" s="30" t="s">
        <v>147</v>
      </c>
      <c r="B30" s="26" t="n">
        <f aca="false">0</f>
        <v>0</v>
      </c>
      <c r="C30" s="26" t="n">
        <f aca="false">(C28+C29)*Pref</f>
        <v>1106793.6</v>
      </c>
      <c r="D30" s="26" t="n">
        <f aca="false">(D28+D29)*Pref</f>
        <v>1284052.87136</v>
      </c>
      <c r="E30" s="26" t="n">
        <f aca="false">(E28+E29)*Pref</f>
        <v>1368119.7545088</v>
      </c>
      <c r="F30" s="26" t="n">
        <f aca="false">(F28+F29)*Pref</f>
        <v>1440461.4022519</v>
      </c>
      <c r="G30" s="26" t="n">
        <f aca="false">(G28+G29)*Pref</f>
        <v>1475774.10441256</v>
      </c>
      <c r="H30" s="26" t="n">
        <f aca="false">(H28+H29)*Pref</f>
        <v>1496376.70139698</v>
      </c>
      <c r="I30" s="26" t="n">
        <f aca="false">(I28+I29)*Pref</f>
        <v>1522300.56262737</v>
      </c>
      <c r="J30" s="26" t="n">
        <f aca="false">(J28+J29)*Pref</f>
        <v>1533768.57710076</v>
      </c>
      <c r="K30" s="26" t="n">
        <f aca="false">(K28+K29)*Pref</f>
        <v>1578617.97638585</v>
      </c>
      <c r="L30" s="26" t="n">
        <f aca="false">(L28+L29)*Pref</f>
        <v>1591825.20941742</v>
      </c>
    </row>
    <row r="31" customFormat="false" ht="15" hidden="false" customHeight="false" outlineLevel="0" collapsed="false">
      <c r="A31" s="30" t="s">
        <v>148</v>
      </c>
      <c r="B31" s="26" t="n">
        <f aca="false">0</f>
        <v>0</v>
      </c>
      <c r="C31" s="26" t="n">
        <f aca="false">IF(C27&lt;0,-C27*1,0)</f>
        <v>1108947.292</v>
      </c>
      <c r="D31" s="26" t="n">
        <f aca="false">IF(D27&lt;0,-D27*1,0)</f>
        <v>0</v>
      </c>
      <c r="E31" s="26" t="n">
        <f aca="false">IF(E27&lt;0,-E27*1,0)</f>
        <v>0</v>
      </c>
      <c r="F31" s="26" t="n">
        <f aca="false">IF(F27&lt;0,-F27*1,0)</f>
        <v>0</v>
      </c>
      <c r="G31" s="26" t="n">
        <f aca="false">IF(G27&lt;0,-G27*1,0)</f>
        <v>0</v>
      </c>
      <c r="H31" s="26" t="n">
        <f aca="false">IF(H27&lt;0,-H27*1,0)</f>
        <v>0</v>
      </c>
      <c r="I31" s="26" t="n">
        <f aca="false">IF(I27&lt;0,-I27*1,0)</f>
        <v>0</v>
      </c>
      <c r="J31" s="26" t="n">
        <f aca="false">IF(J27&lt;0,-J27*1,0)</f>
        <v>0</v>
      </c>
      <c r="K31" s="26" t="n">
        <f aca="false">IF(K27&lt;0,-K27*1,0)</f>
        <v>0</v>
      </c>
      <c r="L31" s="26" t="n">
        <f aca="false">IF(L27&lt;0,-L27*1,0)</f>
        <v>0</v>
      </c>
    </row>
    <row r="32" customFormat="false" ht="15" hidden="false" customHeight="false" outlineLevel="0" collapsed="false">
      <c r="A32" s="30" t="s">
        <v>149</v>
      </c>
      <c r="B32" s="26" t="n">
        <f aca="false">0</f>
        <v>0</v>
      </c>
      <c r="C32" s="26" t="n">
        <f aca="false">IF(C27&gt;0,MIN(C27,C29+C30),0)</f>
        <v>0</v>
      </c>
      <c r="D32" s="26" t="n">
        <f aca="false">IF(D27&gt;0,MIN(D27,D29+D30),0)</f>
        <v>233216.832</v>
      </c>
      <c r="E32" s="26" t="n">
        <f aca="false">IF(E27&gt;0,MIN(E27,E29+E30),0)</f>
        <v>463849.15772</v>
      </c>
      <c r="F32" s="26" t="n">
        <f aca="false">IF(F27&gt;0,MIN(F27,F29+F30),0)</f>
        <v>999052.6252437</v>
      </c>
      <c r="G32" s="26" t="n">
        <f aca="false">IF(G27&gt;0,MIN(G27,G29+G30),0)</f>
        <v>1218241.6421073</v>
      </c>
      <c r="H32" s="26" t="n">
        <f aca="false">IF(H27&gt;0,MIN(H27,H29+H30),0)</f>
        <v>1172328.43601717</v>
      </c>
      <c r="I32" s="26" t="n">
        <f aca="false">IF(I27&gt;0,MIN(I27,I29+I30),0)</f>
        <v>1378950.38170992</v>
      </c>
      <c r="J32" s="26" t="n">
        <f aca="false">IF(J27&gt;0,MIN(J27,J29+J30),0)</f>
        <v>973151.086037178</v>
      </c>
      <c r="K32" s="26" t="n">
        <f aca="false">IF(K27&gt;0,MIN(K27,K29+K30),0)</f>
        <v>1413527.56349119</v>
      </c>
      <c r="L32" s="26" t="n">
        <f aca="false">IF(L27&gt;0,MIN(L27,L29+L30),0)</f>
        <v>6545773.03513518</v>
      </c>
    </row>
    <row r="33" customFormat="false" ht="15" hidden="false" customHeight="false" outlineLevel="0" collapsed="false">
      <c r="A33" s="30" t="s">
        <v>150</v>
      </c>
      <c r="B33" s="26" t="n">
        <f aca="false">0</f>
        <v>0</v>
      </c>
      <c r="C33" s="26" t="n">
        <f aca="false">IF(C27&gt;0,MIN(C27-C32,C28),0)</f>
        <v>0</v>
      </c>
      <c r="D33" s="26" t="n">
        <f aca="false">IF(D27&gt;0,MIN(D27-D32,D28),0)</f>
        <v>0</v>
      </c>
      <c r="E33" s="26" t="n">
        <f aca="false">IF(E27&gt;0,MIN(E27-E32,E28),0)</f>
        <v>0</v>
      </c>
      <c r="F33" s="26" t="n">
        <f aca="false">IF(F27&gt;0,MIN(F27-F32,F28),0)</f>
        <v>0</v>
      </c>
      <c r="G33" s="26" t="n">
        <f aca="false">IF(G27&gt;0,MIN(G27-G32,G28),0)</f>
        <v>0</v>
      </c>
      <c r="H33" s="26" t="n">
        <f aca="false">IF(H27&gt;0,MIN(H27-H32,H28),0)</f>
        <v>0</v>
      </c>
      <c r="I33" s="26" t="n">
        <f aca="false">IF(I27&gt;0,MIN(I27-I32,I28),0)</f>
        <v>0</v>
      </c>
      <c r="J33" s="26" t="n">
        <f aca="false">IF(J27&gt;0,MIN(J27-J32,J28),0)</f>
        <v>0</v>
      </c>
      <c r="K33" s="26" t="n">
        <f aca="false">IF(K27&gt;0,MIN(K27-K32,K28),0)</f>
        <v>0</v>
      </c>
      <c r="L33" s="26" t="n">
        <f aca="false">IF(L27&gt;0,MIN(L27-L32,L28),0)</f>
        <v>14943867.292</v>
      </c>
    </row>
    <row r="34" customFormat="false" ht="15" hidden="false" customHeight="false" outlineLevel="0" collapsed="false">
      <c r="A34" s="30" t="s">
        <v>151</v>
      </c>
      <c r="B34" s="26" t="n">
        <f aca="false">0</f>
        <v>0</v>
      </c>
      <c r="C34" s="26" t="n">
        <f aca="false">IF(C27&gt;0,C27-C32-C33,0)</f>
        <v>0</v>
      </c>
      <c r="D34" s="26" t="n">
        <f aca="false">IF(D27&gt;0,D27-D32-D33,0)</f>
        <v>0</v>
      </c>
      <c r="E34" s="26" t="n">
        <f aca="false">IF(E27&gt;0,E27-E32-E33,0)</f>
        <v>0</v>
      </c>
      <c r="F34" s="26" t="n">
        <f aca="false">IF(F27&gt;0,F27-F32-F33,0)</f>
        <v>0</v>
      </c>
      <c r="G34" s="26" t="n">
        <f aca="false">IF(G27&gt;0,G27-G32-G33,0)</f>
        <v>0</v>
      </c>
      <c r="H34" s="26" t="n">
        <f aca="false">IF(H27&gt;0,H27-H32-H33,0)</f>
        <v>0</v>
      </c>
      <c r="I34" s="26" t="n">
        <f aca="false">IF(I27&gt;0,I27-I32-I33,0)</f>
        <v>0</v>
      </c>
      <c r="J34" s="26" t="n">
        <f aca="false">IF(J27&gt;0,J27-J32-J33,0)</f>
        <v>0</v>
      </c>
      <c r="K34" s="26" t="n">
        <f aca="false">IF(K27&gt;0,K27-K32-K33,0)</f>
        <v>0</v>
      </c>
      <c r="L34" s="26" t="n">
        <f aca="false">IF(L27&gt;0,L27-L32-L33,0)</f>
        <v>1748715.96253878</v>
      </c>
    </row>
    <row r="35" customFormat="false" ht="15" hidden="false" customHeight="false" outlineLevel="0" collapsed="false">
      <c r="A35" s="30" t="s">
        <v>152</v>
      </c>
      <c r="B35" s="26" t="n">
        <f aca="false">0</f>
        <v>0</v>
      </c>
      <c r="C35" s="26" t="n">
        <f aca="false">B35+C32</f>
        <v>0</v>
      </c>
      <c r="D35" s="26" t="n">
        <f aca="false">C35+D32</f>
        <v>233216.832</v>
      </c>
      <c r="E35" s="26" t="n">
        <f aca="false">D35+E32</f>
        <v>697065.98972</v>
      </c>
      <c r="F35" s="26" t="n">
        <f aca="false">E35+F32</f>
        <v>1696118.6149637</v>
      </c>
      <c r="G35" s="26" t="n">
        <f aca="false">F35+G32</f>
        <v>2914360.257071</v>
      </c>
      <c r="H35" s="26" t="n">
        <f aca="false">G35+H32</f>
        <v>4086688.69308818</v>
      </c>
      <c r="I35" s="26" t="n">
        <f aca="false">H35+I32</f>
        <v>5465639.0747981</v>
      </c>
      <c r="J35" s="26" t="n">
        <f aca="false">I35+J32</f>
        <v>6438790.16083527</v>
      </c>
      <c r="K35" s="26" t="n">
        <f aca="false">J35+K32</f>
        <v>7852317.72432646</v>
      </c>
      <c r="L35" s="26" t="n">
        <f aca="false">K35+L32</f>
        <v>14398090.7594616</v>
      </c>
    </row>
    <row r="36" customFormat="false" ht="15" hidden="false" customHeight="false" outlineLevel="0" collapsed="false">
      <c r="A36" s="30" t="s">
        <v>153</v>
      </c>
      <c r="B36" s="26" t="n">
        <f aca="false">0</f>
        <v>0</v>
      </c>
      <c r="C36" s="26" t="n">
        <f aca="false">C35*CatchUp</f>
        <v>0</v>
      </c>
      <c r="D36" s="26" t="n">
        <f aca="false">D35*CatchUp</f>
        <v>58304.208</v>
      </c>
      <c r="E36" s="26" t="n">
        <f aca="false">E35*CatchUp</f>
        <v>174266.49743</v>
      </c>
      <c r="F36" s="26" t="n">
        <f aca="false">F35*CatchUp</f>
        <v>424029.653740925</v>
      </c>
      <c r="G36" s="26" t="n">
        <f aca="false">G35*CatchUp</f>
        <v>728590.064267751</v>
      </c>
      <c r="H36" s="26" t="n">
        <f aca="false">H35*CatchUp</f>
        <v>1021672.17327204</v>
      </c>
      <c r="I36" s="26" t="n">
        <f aca="false">I35*CatchUp</f>
        <v>1366409.76869952</v>
      </c>
      <c r="J36" s="26" t="n">
        <f aca="false">J35*CatchUp</f>
        <v>1609697.54020882</v>
      </c>
      <c r="K36" s="26" t="n">
        <f aca="false">K35*CatchUp</f>
        <v>1963079.43108162</v>
      </c>
      <c r="L36" s="26" t="n">
        <f aca="false">L35*CatchUp</f>
        <v>3599522.68986541</v>
      </c>
    </row>
    <row r="37" customFormat="false" ht="15" hidden="false" customHeight="false" outlineLevel="0" collapsed="false">
      <c r="A37" s="30" t="s">
        <v>154</v>
      </c>
      <c r="B37" s="26" t="n">
        <f aca="false">0</f>
        <v>0</v>
      </c>
      <c r="C37" s="26" t="n">
        <f aca="false">MIN(C34,MAX(0,C36-B39))</f>
        <v>0</v>
      </c>
      <c r="D37" s="26" t="n">
        <f aca="false">MIN(D34,MAX(0,D36-C39))</f>
        <v>0</v>
      </c>
      <c r="E37" s="26" t="n">
        <f aca="false">MIN(E34,MAX(0,E36-D39))</f>
        <v>0</v>
      </c>
      <c r="F37" s="26" t="n">
        <f aca="false">MIN(F34,MAX(0,F36-E39))</f>
        <v>0</v>
      </c>
      <c r="G37" s="26" t="n">
        <f aca="false">MIN(G34,MAX(0,G36-F39))</f>
        <v>0</v>
      </c>
      <c r="H37" s="26" t="n">
        <f aca="false">MIN(H34,MAX(0,H36-G39))</f>
        <v>0</v>
      </c>
      <c r="I37" s="26" t="n">
        <f aca="false">MIN(I34,MAX(0,I36-H39))</f>
        <v>0</v>
      </c>
      <c r="J37" s="26" t="n">
        <f aca="false">MIN(J34,MAX(0,J36-I39))</f>
        <v>0</v>
      </c>
      <c r="K37" s="26" t="n">
        <f aca="false">MIN(K34,MAX(0,K36-J39))</f>
        <v>0</v>
      </c>
      <c r="L37" s="26" t="n">
        <f aca="false">MIN(L34,MAX(0,L36-K39))</f>
        <v>1748715.96253878</v>
      </c>
    </row>
    <row r="38" customFormat="false" ht="15" hidden="false" customHeight="false" outlineLevel="0" collapsed="false">
      <c r="A38" s="30" t="s">
        <v>155</v>
      </c>
      <c r="B38" s="26" t="n">
        <f aca="false">0</f>
        <v>0</v>
      </c>
      <c r="C38" s="26" t="n">
        <f aca="false">(C34-C37)*Promote</f>
        <v>0</v>
      </c>
      <c r="D38" s="26" t="n">
        <f aca="false">(D34-D37)*Promote</f>
        <v>0</v>
      </c>
      <c r="E38" s="26" t="n">
        <f aca="false">(E34-E37)*Promote</f>
        <v>0</v>
      </c>
      <c r="F38" s="26" t="n">
        <f aca="false">(F34-F37)*Promote</f>
        <v>0</v>
      </c>
      <c r="G38" s="26" t="n">
        <f aca="false">(G34-G37)*Promote</f>
        <v>0</v>
      </c>
      <c r="H38" s="26" t="n">
        <f aca="false">(H34-H37)*Promote</f>
        <v>0</v>
      </c>
      <c r="I38" s="26" t="n">
        <f aca="false">(I34-I37)*Promote</f>
        <v>0</v>
      </c>
      <c r="J38" s="26" t="n">
        <f aca="false">(J34-J37)*Promote</f>
        <v>0</v>
      </c>
      <c r="K38" s="26" t="n">
        <f aca="false">(K34-K37)*Promote</f>
        <v>0</v>
      </c>
      <c r="L38" s="26" t="n">
        <f aca="false">(L34-L37)*Promote</f>
        <v>0</v>
      </c>
    </row>
    <row r="39" customFormat="false" ht="15" hidden="false" customHeight="false" outlineLevel="0" collapsed="false">
      <c r="A39" s="30" t="s">
        <v>156</v>
      </c>
      <c r="B39" s="26" t="n">
        <f aca="false">0</f>
        <v>0</v>
      </c>
      <c r="C39" s="26" t="n">
        <f aca="false">B39+C37+C38</f>
        <v>0</v>
      </c>
      <c r="D39" s="26" t="n">
        <f aca="false">C39+D37+D38</f>
        <v>0</v>
      </c>
      <c r="E39" s="26" t="n">
        <f aca="false">D39+E37+E38</f>
        <v>0</v>
      </c>
      <c r="F39" s="26" t="n">
        <f aca="false">E39+F37+F38</f>
        <v>0</v>
      </c>
      <c r="G39" s="26" t="n">
        <f aca="false">F39+G37+G38</f>
        <v>0</v>
      </c>
      <c r="H39" s="26" t="n">
        <f aca="false">G39+H37+H38</f>
        <v>0</v>
      </c>
      <c r="I39" s="26" t="n">
        <f aca="false">H39+I37+I38</f>
        <v>0</v>
      </c>
      <c r="J39" s="26" t="n">
        <f aca="false">I39+J37+J38</f>
        <v>0</v>
      </c>
      <c r="K39" s="26" t="n">
        <f aca="false">J39+K37+K38</f>
        <v>0</v>
      </c>
      <c r="L39" s="26" t="n">
        <f aca="false">K39+L37+L38</f>
        <v>1748715.96253878</v>
      </c>
    </row>
    <row r="40" customFormat="false" ht="15" hidden="false" customHeight="false" outlineLevel="0" collapsed="false">
      <c r="A40" s="31" t="s">
        <v>157</v>
      </c>
      <c r="B40" s="12" t="n">
        <f aca="false">B27</f>
        <v>-13834920</v>
      </c>
      <c r="C40" s="12" t="n">
        <f aca="false">IF(C27&lt;0,C27,C32+C33+(C34-C37)*(1-Promote))</f>
        <v>-1108947.292</v>
      </c>
      <c r="D40" s="12" t="n">
        <f aca="false">IF(D27&lt;0,D27,D32+D33+(D34-D37)*(1-Promote))</f>
        <v>233216.832</v>
      </c>
      <c r="E40" s="12" t="n">
        <f aca="false">IF(E27&lt;0,E27,E32+E33+(E34-E37)*(1-Promote))</f>
        <v>463849.15772</v>
      </c>
      <c r="F40" s="12" t="n">
        <f aca="false">IF(F27&lt;0,F27,F32+F33+(F34-F37)*(1-Promote))</f>
        <v>999052.6252437</v>
      </c>
      <c r="G40" s="12" t="n">
        <f aca="false">IF(G27&lt;0,G27,G32+G33+(G34-G37)*(1-Promote))</f>
        <v>1218241.6421073</v>
      </c>
      <c r="H40" s="12" t="n">
        <f aca="false">IF(H27&lt;0,H27,H32+H33+(H34-H37)*(1-Promote))</f>
        <v>1172328.43601717</v>
      </c>
      <c r="I40" s="12" t="n">
        <f aca="false">IF(I27&lt;0,I27,I32+I33+(I34-I37)*(1-Promote))</f>
        <v>1378950.38170992</v>
      </c>
      <c r="J40" s="12" t="n">
        <f aca="false">IF(J27&lt;0,J27,J32+J33+(J34-J37)*(1-Promote))</f>
        <v>973151.086037178</v>
      </c>
      <c r="K40" s="12" t="n">
        <f aca="false">IF(K27&lt;0,K27,K32+K33+(K34-K37)*(1-Promote))</f>
        <v>1413527.56349119</v>
      </c>
      <c r="L40" s="12" t="n">
        <f aca="false">IF(L27&lt;0,L27,L32+L33+(L34-L37)*(1-Promote))</f>
        <v>21489640.3271352</v>
      </c>
    </row>
    <row r="41" customFormat="false" ht="15" hidden="false" customHeight="false" outlineLevel="0" collapsed="false">
      <c r="A41" s="30" t="s">
        <v>158</v>
      </c>
      <c r="B41" s="26" t="n">
        <f aca="false">-B27</f>
        <v>13834920</v>
      </c>
      <c r="C41" s="26" t="n">
        <f aca="false">C28-C33+C31</f>
        <v>14943867.292</v>
      </c>
      <c r="D41" s="26" t="n">
        <f aca="false">D28-D33+D31</f>
        <v>14943867.292</v>
      </c>
      <c r="E41" s="26" t="n">
        <f aca="false">E28-E33+E31</f>
        <v>14943867.292</v>
      </c>
      <c r="F41" s="26" t="n">
        <f aca="false">F28-F33+F31</f>
        <v>14943867.292</v>
      </c>
      <c r="G41" s="26" t="n">
        <f aca="false">G28-G33+G31</f>
        <v>14943867.292</v>
      </c>
      <c r="H41" s="26" t="n">
        <f aca="false">H28-H33+H31</f>
        <v>14943867.292</v>
      </c>
      <c r="I41" s="26" t="n">
        <f aca="false">I28-I33+I31</f>
        <v>14943867.292</v>
      </c>
      <c r="J41" s="26" t="n">
        <f aca="false">J28-J33+J31</f>
        <v>14943867.292</v>
      </c>
      <c r="K41" s="26" t="n">
        <f aca="false">K28-K33+K31</f>
        <v>14943867.292</v>
      </c>
      <c r="L41" s="26" t="n">
        <f aca="false">L28-L33+L31</f>
        <v>0</v>
      </c>
    </row>
    <row r="42" customFormat="false" ht="15" hidden="false" customHeight="false" outlineLevel="0" collapsed="false">
      <c r="A42" s="30" t="s">
        <v>159</v>
      </c>
      <c r="B42" s="26" t="n">
        <f aca="false">0</f>
        <v>0</v>
      </c>
      <c r="C42" s="26" t="n">
        <f aca="false">C29+C30-C32</f>
        <v>1106793.6</v>
      </c>
      <c r="D42" s="26" t="n">
        <f aca="false">D29+D30-D32</f>
        <v>2157629.63936</v>
      </c>
      <c r="E42" s="26" t="n">
        <f aca="false">E29+E30-E32</f>
        <v>3061900.2361488</v>
      </c>
      <c r="F42" s="26" t="n">
        <f aca="false">F29+F30-F32</f>
        <v>3503309.013157</v>
      </c>
      <c r="G42" s="26" t="n">
        <f aca="false">G29+G30-G32</f>
        <v>3760841.47546226</v>
      </c>
      <c r="H42" s="26" t="n">
        <f aca="false">H29+H30-H32</f>
        <v>4084889.74084207</v>
      </c>
      <c r="I42" s="26" t="n">
        <f aca="false">I29+I30-I32</f>
        <v>4228239.92175951</v>
      </c>
      <c r="J42" s="26" t="n">
        <f aca="false">J29+J30-J32</f>
        <v>4788857.4128231</v>
      </c>
      <c r="K42" s="26" t="n">
        <f aca="false">K29+K30-K32</f>
        <v>4953947.82571776</v>
      </c>
      <c r="L42" s="26" t="n">
        <f aca="false">L29+L30-L32</f>
        <v>0</v>
      </c>
    </row>
    <row r="43" customFormat="false" ht="15" hidden="false" customHeight="false" outlineLevel="0" collapsed="false">
      <c r="A43" s="11" t="s">
        <v>149</v>
      </c>
      <c r="B43" s="12" t="n">
        <f aca="false">L35</f>
        <v>14398090.7594616</v>
      </c>
    </row>
    <row r="44" customFormat="false" ht="15" hidden="false" customHeight="false" outlineLevel="0" collapsed="false">
      <c r="A44" s="11" t="s">
        <v>170</v>
      </c>
      <c r="B44" s="12" t="n">
        <f aca="false">L39</f>
        <v>1748715.96253878</v>
      </c>
    </row>
    <row r="46" customFormat="false" ht="15" hidden="false" customHeight="false" outlineLevel="0" collapsed="false">
      <c r="A46" s="4" t="s">
        <v>193</v>
      </c>
      <c r="B46" s="6"/>
      <c r="C46" s="6"/>
      <c r="D46" s="6"/>
      <c r="E46" s="6"/>
      <c r="F46" s="6"/>
      <c r="G46" s="6"/>
      <c r="H46" s="6"/>
      <c r="I46" s="6"/>
      <c r="J46" s="6"/>
      <c r="K46" s="6"/>
      <c r="L46" s="6"/>
    </row>
    <row r="48" customFormat="false" ht="15" hidden="false" customHeight="false" outlineLevel="0" collapsed="false">
      <c r="A48" s="24" t="s">
        <v>55</v>
      </c>
      <c r="B48" s="25" t="n">
        <v>0</v>
      </c>
      <c r="C48" s="25" t="n">
        <f aca="false">B48+1</f>
        <v>1</v>
      </c>
      <c r="D48" s="25" t="n">
        <f aca="false">C48+1</f>
        <v>2</v>
      </c>
      <c r="E48" s="25" t="n">
        <f aca="false">D48+1</f>
        <v>3</v>
      </c>
      <c r="F48" s="25" t="n">
        <f aca="false">E48+1</f>
        <v>4</v>
      </c>
      <c r="G48" s="25" t="n">
        <f aca="false">F48+1</f>
        <v>5</v>
      </c>
      <c r="H48" s="25" t="n">
        <f aca="false">G48+1</f>
        <v>6</v>
      </c>
      <c r="I48" s="25" t="n">
        <f aca="false">H48+1</f>
        <v>7</v>
      </c>
      <c r="J48" s="25" t="n">
        <f aca="false">I48+1</f>
        <v>8</v>
      </c>
      <c r="K48" s="25" t="n">
        <f aca="false">J48+1</f>
        <v>9</v>
      </c>
      <c r="L48" s="25" t="n">
        <f aca="false">K48+1</f>
        <v>10</v>
      </c>
    </row>
    <row r="49" customFormat="false" ht="15" hidden="false" customHeight="false" outlineLevel="0" collapsed="false">
      <c r="A49" s="7" t="s">
        <v>144</v>
      </c>
      <c r="B49" s="26" t="n">
        <f aca="false">B18</f>
        <v>-13834920</v>
      </c>
      <c r="C49" s="26" t="n">
        <f aca="false">C18</f>
        <v>-1108947.292</v>
      </c>
      <c r="D49" s="26" t="n">
        <f aca="false">D18</f>
        <v>233216.832</v>
      </c>
      <c r="E49" s="26" t="n">
        <f aca="false">E18</f>
        <v>463849.15772</v>
      </c>
      <c r="F49" s="26" t="n">
        <f aca="false">F18</f>
        <v>999052.6252437</v>
      </c>
      <c r="G49" s="26" t="n">
        <f aca="false">G18</f>
        <v>1218241.6421073</v>
      </c>
      <c r="H49" s="26" t="n">
        <f aca="false">H18</f>
        <v>1172328.43601717</v>
      </c>
      <c r="I49" s="26" t="n">
        <f aca="false">I18</f>
        <v>1378950.38170992</v>
      </c>
      <c r="J49" s="26" t="n">
        <f aca="false">J18</f>
        <v>973151.086037178</v>
      </c>
      <c r="K49" s="26" t="n">
        <f aca="false">K18</f>
        <v>1413527.56349119</v>
      </c>
      <c r="L49" s="26" t="n">
        <f aca="false">L18</f>
        <v>23238356.289674</v>
      </c>
    </row>
    <row r="50" customFormat="false" ht="15" hidden="false" customHeight="false" outlineLevel="0" collapsed="false">
      <c r="A50" s="30" t="s">
        <v>145</v>
      </c>
      <c r="B50" s="26" t="n">
        <f aca="false">0</f>
        <v>0</v>
      </c>
      <c r="C50" s="26" t="n">
        <f aca="false">B63</f>
        <v>13834920</v>
      </c>
      <c r="D50" s="26" t="n">
        <f aca="false">C63</f>
        <v>13834920</v>
      </c>
      <c r="E50" s="26" t="n">
        <f aca="false">D63</f>
        <v>13834920</v>
      </c>
      <c r="F50" s="26" t="n">
        <f aca="false">E63</f>
        <v>13834920</v>
      </c>
      <c r="G50" s="26" t="n">
        <f aca="false">F63</f>
        <v>13834920</v>
      </c>
      <c r="H50" s="26" t="n">
        <f aca="false">G63</f>
        <v>13834920</v>
      </c>
      <c r="I50" s="26" t="n">
        <f aca="false">H63</f>
        <v>13834920</v>
      </c>
      <c r="J50" s="26" t="n">
        <f aca="false">I63</f>
        <v>13834920</v>
      </c>
      <c r="K50" s="26" t="n">
        <f aca="false">J63</f>
        <v>13834920</v>
      </c>
      <c r="L50" s="26" t="n">
        <f aca="false">K63</f>
        <v>13834920</v>
      </c>
    </row>
    <row r="51" customFormat="false" ht="15" hidden="false" customHeight="false" outlineLevel="0" collapsed="false">
      <c r="A51" s="30" t="s">
        <v>146</v>
      </c>
      <c r="B51" s="26" t="n">
        <f aca="false">0</f>
        <v>0</v>
      </c>
      <c r="C51" s="26" t="n">
        <f aca="false">B64</f>
        <v>0</v>
      </c>
      <c r="D51" s="26" t="n">
        <f aca="false">C64</f>
        <v>1106793.6</v>
      </c>
      <c r="E51" s="26" t="n">
        <f aca="false">D64</f>
        <v>2068913.856</v>
      </c>
      <c r="F51" s="26" t="n">
        <f aca="false">E64</f>
        <v>2877371.40676</v>
      </c>
      <c r="G51" s="26" t="n">
        <f aca="false">F64</f>
        <v>3215302.0940571</v>
      </c>
      <c r="H51" s="26" t="n">
        <f aca="false">G64</f>
        <v>3361078.21947436</v>
      </c>
      <c r="I51" s="26" t="n">
        <f aca="false">H64</f>
        <v>3564429.64101514</v>
      </c>
      <c r="J51" s="26" t="n">
        <f aca="false">I64</f>
        <v>3577427.23058643</v>
      </c>
      <c r="K51" s="26" t="n">
        <f aca="false">J64</f>
        <v>3997263.92299617</v>
      </c>
      <c r="L51" s="26" t="n">
        <f aca="false">K64</f>
        <v>4010311.07334467</v>
      </c>
    </row>
    <row r="52" customFormat="false" ht="15" hidden="false" customHeight="false" outlineLevel="0" collapsed="false">
      <c r="A52" s="30" t="s">
        <v>147</v>
      </c>
      <c r="B52" s="26" t="n">
        <f aca="false">0</f>
        <v>0</v>
      </c>
      <c r="C52" s="26" t="n">
        <f aca="false">(C50+C51)*Pref</f>
        <v>1106793.6</v>
      </c>
      <c r="D52" s="26" t="n">
        <f aca="false">(D50+D51)*Pref</f>
        <v>1195337.088</v>
      </c>
      <c r="E52" s="26" t="n">
        <f aca="false">(E50+E51)*Pref</f>
        <v>1272306.70848</v>
      </c>
      <c r="F52" s="26" t="n">
        <f aca="false">(F50+F51)*Pref</f>
        <v>1336983.3125408</v>
      </c>
      <c r="G52" s="26" t="n">
        <f aca="false">(G50+G51)*Pref</f>
        <v>1364017.76752457</v>
      </c>
      <c r="H52" s="26" t="n">
        <f aca="false">(H50+H51)*Pref</f>
        <v>1375679.85755795</v>
      </c>
      <c r="I52" s="26" t="n">
        <f aca="false">(I50+I51)*Pref</f>
        <v>1391947.97128121</v>
      </c>
      <c r="J52" s="26" t="n">
        <f aca="false">(J50+J51)*Pref</f>
        <v>1392987.77844691</v>
      </c>
      <c r="K52" s="26" t="n">
        <f aca="false">(K50+K51)*Pref</f>
        <v>1426574.71383969</v>
      </c>
      <c r="L52" s="26" t="n">
        <f aca="false">(L50+L51)*Pref</f>
        <v>1427618.48586757</v>
      </c>
    </row>
    <row r="53" customFormat="false" ht="15" hidden="false" customHeight="false" outlineLevel="0" collapsed="false">
      <c r="A53" s="30" t="s">
        <v>148</v>
      </c>
      <c r="B53" s="26" t="n">
        <f aca="false">0</f>
        <v>0</v>
      </c>
      <c r="C53" s="26" t="n">
        <f aca="false">IF(C49&lt;0,-C49*0,0)</f>
        <v>0</v>
      </c>
      <c r="D53" s="26" t="n">
        <f aca="false">IF(D49&lt;0,-D49*0,0)</f>
        <v>0</v>
      </c>
      <c r="E53" s="26" t="n">
        <f aca="false">IF(E49&lt;0,-E49*0,0)</f>
        <v>0</v>
      </c>
      <c r="F53" s="26" t="n">
        <f aca="false">IF(F49&lt;0,-F49*0,0)</f>
        <v>0</v>
      </c>
      <c r="G53" s="26" t="n">
        <f aca="false">IF(G49&lt;0,-G49*0,0)</f>
        <v>0</v>
      </c>
      <c r="H53" s="26" t="n">
        <f aca="false">IF(H49&lt;0,-H49*0,0)</f>
        <v>0</v>
      </c>
      <c r="I53" s="26" t="n">
        <f aca="false">IF(I49&lt;0,-I49*0,0)</f>
        <v>0</v>
      </c>
      <c r="J53" s="26" t="n">
        <f aca="false">IF(J49&lt;0,-J49*0,0)</f>
        <v>0</v>
      </c>
      <c r="K53" s="26" t="n">
        <f aca="false">IF(K49&lt;0,-K49*0,0)</f>
        <v>0</v>
      </c>
      <c r="L53" s="26" t="n">
        <f aca="false">IF(L49&lt;0,-L49*0,0)</f>
        <v>0</v>
      </c>
    </row>
    <row r="54" customFormat="false" ht="15" hidden="false" customHeight="false" outlineLevel="0" collapsed="false">
      <c r="A54" s="30" t="s">
        <v>149</v>
      </c>
      <c r="B54" s="26" t="n">
        <f aca="false">0</f>
        <v>0</v>
      </c>
      <c r="C54" s="26" t="n">
        <f aca="false">IF(C49&gt;0,MIN(C49,C51+C52),0)</f>
        <v>0</v>
      </c>
      <c r="D54" s="26" t="n">
        <f aca="false">IF(D49&gt;0,MIN(D49,D51+D52),0)</f>
        <v>233216.832</v>
      </c>
      <c r="E54" s="26" t="n">
        <f aca="false">IF(E49&gt;0,MIN(E49,E51+E52),0)</f>
        <v>463849.15772</v>
      </c>
      <c r="F54" s="26" t="n">
        <f aca="false">IF(F49&gt;0,MIN(F49,F51+F52),0)</f>
        <v>999052.6252437</v>
      </c>
      <c r="G54" s="26" t="n">
        <f aca="false">IF(G49&gt;0,MIN(G49,G51+G52),0)</f>
        <v>1218241.6421073</v>
      </c>
      <c r="H54" s="26" t="n">
        <f aca="false">IF(H49&gt;0,MIN(H49,H51+H52),0)</f>
        <v>1172328.43601717</v>
      </c>
      <c r="I54" s="26" t="n">
        <f aca="false">IF(I49&gt;0,MIN(I49,I51+I52),0)</f>
        <v>1378950.38170992</v>
      </c>
      <c r="J54" s="26" t="n">
        <f aca="false">IF(J49&gt;0,MIN(J49,J51+J52),0)</f>
        <v>973151.086037178</v>
      </c>
      <c r="K54" s="26" t="n">
        <f aca="false">IF(K49&gt;0,MIN(K49,K51+K52),0)</f>
        <v>1413527.56349119</v>
      </c>
      <c r="L54" s="26" t="n">
        <f aca="false">IF(L49&gt;0,MIN(L49,L51+L52),0)</f>
        <v>5437929.55921225</v>
      </c>
    </row>
    <row r="55" customFormat="false" ht="15" hidden="false" customHeight="false" outlineLevel="0" collapsed="false">
      <c r="A55" s="30" t="s">
        <v>150</v>
      </c>
      <c r="B55" s="26" t="n">
        <f aca="false">0</f>
        <v>0</v>
      </c>
      <c r="C55" s="26" t="n">
        <f aca="false">IF(C49&gt;0,MIN(C49-C54,C50),0)</f>
        <v>0</v>
      </c>
      <c r="D55" s="26" t="n">
        <f aca="false">IF(D49&gt;0,MIN(D49-D54,D50),0)</f>
        <v>0</v>
      </c>
      <c r="E55" s="26" t="n">
        <f aca="false">IF(E49&gt;0,MIN(E49-E54,E50),0)</f>
        <v>0</v>
      </c>
      <c r="F55" s="26" t="n">
        <f aca="false">IF(F49&gt;0,MIN(F49-F54,F50),0)</f>
        <v>0</v>
      </c>
      <c r="G55" s="26" t="n">
        <f aca="false">IF(G49&gt;0,MIN(G49-G54,G50),0)</f>
        <v>0</v>
      </c>
      <c r="H55" s="26" t="n">
        <f aca="false">IF(H49&gt;0,MIN(H49-H54,H50),0)</f>
        <v>0</v>
      </c>
      <c r="I55" s="26" t="n">
        <f aca="false">IF(I49&gt;0,MIN(I49-I54,I50),0)</f>
        <v>0</v>
      </c>
      <c r="J55" s="26" t="n">
        <f aca="false">IF(J49&gt;0,MIN(J49-J54,J50),0)</f>
        <v>0</v>
      </c>
      <c r="K55" s="26" t="n">
        <f aca="false">IF(K49&gt;0,MIN(K49-K54,K50),0)</f>
        <v>0</v>
      </c>
      <c r="L55" s="26" t="n">
        <f aca="false">IF(L49&gt;0,MIN(L49-L54,L50),0)</f>
        <v>13834920</v>
      </c>
    </row>
    <row r="56" customFormat="false" ht="15" hidden="false" customHeight="false" outlineLevel="0" collapsed="false">
      <c r="A56" s="30" t="s">
        <v>151</v>
      </c>
      <c r="B56" s="26" t="n">
        <f aca="false">0</f>
        <v>0</v>
      </c>
      <c r="C56" s="26" t="n">
        <f aca="false">IF(C49&gt;0,C49-C54-C55,0)</f>
        <v>0</v>
      </c>
      <c r="D56" s="26" t="n">
        <f aca="false">IF(D49&gt;0,D49-D54-D55,0)</f>
        <v>0</v>
      </c>
      <c r="E56" s="26" t="n">
        <f aca="false">IF(E49&gt;0,E49-E54-E55,0)</f>
        <v>0</v>
      </c>
      <c r="F56" s="26" t="n">
        <f aca="false">IF(F49&gt;0,F49-F54-F55,0)</f>
        <v>0</v>
      </c>
      <c r="G56" s="26" t="n">
        <f aca="false">IF(G49&gt;0,G49-G54-G55,0)</f>
        <v>0</v>
      </c>
      <c r="H56" s="26" t="n">
        <f aca="false">IF(H49&gt;0,H49-H54-H55,0)</f>
        <v>0</v>
      </c>
      <c r="I56" s="26" t="n">
        <f aca="false">IF(I49&gt;0,I49-I54-I55,0)</f>
        <v>0</v>
      </c>
      <c r="J56" s="26" t="n">
        <f aca="false">IF(J49&gt;0,J49-J54-J55,0)</f>
        <v>0</v>
      </c>
      <c r="K56" s="26" t="n">
        <f aca="false">IF(K49&gt;0,K49-K54-K55,0)</f>
        <v>0</v>
      </c>
      <c r="L56" s="26" t="n">
        <f aca="false">IF(L49&gt;0,L49-L54-L55,0)</f>
        <v>3965506.73046172</v>
      </c>
    </row>
    <row r="57" customFormat="false" ht="15" hidden="false" customHeight="false" outlineLevel="0" collapsed="false">
      <c r="A57" s="30" t="s">
        <v>152</v>
      </c>
      <c r="B57" s="26" t="n">
        <f aca="false">0</f>
        <v>0</v>
      </c>
      <c r="C57" s="26" t="n">
        <f aca="false">B57+C54</f>
        <v>0</v>
      </c>
      <c r="D57" s="26" t="n">
        <f aca="false">C57+D54</f>
        <v>233216.832</v>
      </c>
      <c r="E57" s="26" t="n">
        <f aca="false">D57+E54</f>
        <v>697065.98972</v>
      </c>
      <c r="F57" s="26" t="n">
        <f aca="false">E57+F54</f>
        <v>1696118.6149637</v>
      </c>
      <c r="G57" s="26" t="n">
        <f aca="false">F57+G54</f>
        <v>2914360.257071</v>
      </c>
      <c r="H57" s="26" t="n">
        <f aca="false">G57+H54</f>
        <v>4086688.69308818</v>
      </c>
      <c r="I57" s="26" t="n">
        <f aca="false">H57+I54</f>
        <v>5465639.0747981</v>
      </c>
      <c r="J57" s="26" t="n">
        <f aca="false">I57+J54</f>
        <v>6438790.16083527</v>
      </c>
      <c r="K57" s="26" t="n">
        <f aca="false">J57+K54</f>
        <v>7852317.72432646</v>
      </c>
      <c r="L57" s="26" t="n">
        <f aca="false">K57+L54</f>
        <v>13290247.2835387</v>
      </c>
    </row>
    <row r="58" customFormat="false" ht="15" hidden="false" customHeight="false" outlineLevel="0" collapsed="false">
      <c r="A58" s="30" t="s">
        <v>153</v>
      </c>
      <c r="B58" s="26" t="n">
        <f aca="false">0</f>
        <v>0</v>
      </c>
      <c r="C58" s="26" t="n">
        <f aca="false">C57*CatchUp</f>
        <v>0</v>
      </c>
      <c r="D58" s="26" t="n">
        <f aca="false">D57*CatchUp</f>
        <v>58304.208</v>
      </c>
      <c r="E58" s="26" t="n">
        <f aca="false">E57*CatchUp</f>
        <v>174266.49743</v>
      </c>
      <c r="F58" s="26" t="n">
        <f aca="false">F57*CatchUp</f>
        <v>424029.653740925</v>
      </c>
      <c r="G58" s="26" t="n">
        <f aca="false">G57*CatchUp</f>
        <v>728590.064267751</v>
      </c>
      <c r="H58" s="26" t="n">
        <f aca="false">H57*CatchUp</f>
        <v>1021672.17327204</v>
      </c>
      <c r="I58" s="26" t="n">
        <f aca="false">I57*CatchUp</f>
        <v>1366409.76869952</v>
      </c>
      <c r="J58" s="26" t="n">
        <f aca="false">J57*CatchUp</f>
        <v>1609697.54020882</v>
      </c>
      <c r="K58" s="26" t="n">
        <f aca="false">K57*CatchUp</f>
        <v>1963079.43108162</v>
      </c>
      <c r="L58" s="26" t="n">
        <f aca="false">L57*CatchUp</f>
        <v>3322561.82088468</v>
      </c>
    </row>
    <row r="59" customFormat="false" ht="15" hidden="false" customHeight="false" outlineLevel="0" collapsed="false">
      <c r="A59" s="30" t="s">
        <v>154</v>
      </c>
      <c r="B59" s="26" t="n">
        <f aca="false">0</f>
        <v>0</v>
      </c>
      <c r="C59" s="26" t="n">
        <f aca="false">MIN(C56,MAX(0,C58-B61))</f>
        <v>0</v>
      </c>
      <c r="D59" s="26" t="n">
        <f aca="false">MIN(D56,MAX(0,D58-C61))</f>
        <v>0</v>
      </c>
      <c r="E59" s="26" t="n">
        <f aca="false">MIN(E56,MAX(0,E58-D61))</f>
        <v>0</v>
      </c>
      <c r="F59" s="26" t="n">
        <f aca="false">MIN(F56,MAX(0,F58-E61))</f>
        <v>0</v>
      </c>
      <c r="G59" s="26" t="n">
        <f aca="false">MIN(G56,MAX(0,G58-F61))</f>
        <v>0</v>
      </c>
      <c r="H59" s="26" t="n">
        <f aca="false">MIN(H56,MAX(0,H58-G61))</f>
        <v>0</v>
      </c>
      <c r="I59" s="26" t="n">
        <f aca="false">MIN(I56,MAX(0,I58-H61))</f>
        <v>0</v>
      </c>
      <c r="J59" s="26" t="n">
        <f aca="false">MIN(J56,MAX(0,J58-I61))</f>
        <v>0</v>
      </c>
      <c r="K59" s="26" t="n">
        <f aca="false">MIN(K56,MAX(0,K58-J61))</f>
        <v>0</v>
      </c>
      <c r="L59" s="26" t="n">
        <f aca="false">MIN(L56,MAX(0,L58-K61))</f>
        <v>3322561.82088468</v>
      </c>
    </row>
    <row r="60" customFormat="false" ht="15" hidden="false" customHeight="false" outlineLevel="0" collapsed="false">
      <c r="A60" s="30" t="s">
        <v>155</v>
      </c>
      <c r="B60" s="26" t="n">
        <f aca="false">0</f>
        <v>0</v>
      </c>
      <c r="C60" s="26" t="n">
        <f aca="false">(C56-C59)*Promote</f>
        <v>0</v>
      </c>
      <c r="D60" s="26" t="n">
        <f aca="false">(D56-D59)*Promote</f>
        <v>0</v>
      </c>
      <c r="E60" s="26" t="n">
        <f aca="false">(E56-E59)*Promote</f>
        <v>0</v>
      </c>
      <c r="F60" s="26" t="n">
        <f aca="false">(F56-F59)*Promote</f>
        <v>0</v>
      </c>
      <c r="G60" s="26" t="n">
        <f aca="false">(G56-G59)*Promote</f>
        <v>0</v>
      </c>
      <c r="H60" s="26" t="n">
        <f aca="false">(H56-H59)*Promote</f>
        <v>0</v>
      </c>
      <c r="I60" s="26" t="n">
        <f aca="false">(I56-I59)*Promote</f>
        <v>0</v>
      </c>
      <c r="J60" s="26" t="n">
        <f aca="false">(J56-J59)*Promote</f>
        <v>0</v>
      </c>
      <c r="K60" s="26" t="n">
        <f aca="false">(K56-K59)*Promote</f>
        <v>0</v>
      </c>
      <c r="L60" s="26" t="n">
        <f aca="false">(L56-L59)*Promote</f>
        <v>128588.981915408</v>
      </c>
    </row>
    <row r="61" customFormat="false" ht="15" hidden="false" customHeight="false" outlineLevel="0" collapsed="false">
      <c r="A61" s="30" t="s">
        <v>156</v>
      </c>
      <c r="B61" s="26" t="n">
        <f aca="false">0</f>
        <v>0</v>
      </c>
      <c r="C61" s="26" t="n">
        <f aca="false">B61+C59+C60</f>
        <v>0</v>
      </c>
      <c r="D61" s="26" t="n">
        <f aca="false">C61+D59+D60</f>
        <v>0</v>
      </c>
      <c r="E61" s="26" t="n">
        <f aca="false">D61+E59+E60</f>
        <v>0</v>
      </c>
      <c r="F61" s="26" t="n">
        <f aca="false">E61+F59+F60</f>
        <v>0</v>
      </c>
      <c r="G61" s="26" t="n">
        <f aca="false">F61+G59+G60</f>
        <v>0</v>
      </c>
      <c r="H61" s="26" t="n">
        <f aca="false">G61+H59+H60</f>
        <v>0</v>
      </c>
      <c r="I61" s="26" t="n">
        <f aca="false">H61+I59+I60</f>
        <v>0</v>
      </c>
      <c r="J61" s="26" t="n">
        <f aca="false">I61+J59+J60</f>
        <v>0</v>
      </c>
      <c r="K61" s="26" t="n">
        <f aca="false">J61+K59+K60</f>
        <v>0</v>
      </c>
      <c r="L61" s="26" t="n">
        <f aca="false">K61+L59+L60</f>
        <v>3451150.80280009</v>
      </c>
    </row>
    <row r="62" customFormat="false" ht="15" hidden="false" customHeight="false" outlineLevel="0" collapsed="false">
      <c r="A62" s="31" t="s">
        <v>157</v>
      </c>
      <c r="B62" s="12" t="n">
        <f aca="false">B49</f>
        <v>-13834920</v>
      </c>
      <c r="C62" s="12" t="n">
        <f aca="false">IF(C49&lt;0,C49,C54+C55+(C56-C59)*(1-Promote))</f>
        <v>-1108947.292</v>
      </c>
      <c r="D62" s="12" t="n">
        <f aca="false">IF(D49&lt;0,D49,D54+D55+(D56-D59)*(1-Promote))</f>
        <v>233216.832</v>
      </c>
      <c r="E62" s="12" t="n">
        <f aca="false">IF(E49&lt;0,E49,E54+E55+(E56-E59)*(1-Promote))</f>
        <v>463849.15772</v>
      </c>
      <c r="F62" s="12" t="n">
        <f aca="false">IF(F49&lt;0,F49,F54+F55+(F56-F59)*(1-Promote))</f>
        <v>999052.6252437</v>
      </c>
      <c r="G62" s="12" t="n">
        <f aca="false">IF(G49&lt;0,G49,G54+G55+(G56-G59)*(1-Promote))</f>
        <v>1218241.6421073</v>
      </c>
      <c r="H62" s="12" t="n">
        <f aca="false">IF(H49&lt;0,H49,H54+H55+(H56-H59)*(1-Promote))</f>
        <v>1172328.43601717</v>
      </c>
      <c r="I62" s="12" t="n">
        <f aca="false">IF(I49&lt;0,I49,I54+I55+(I56-I59)*(1-Promote))</f>
        <v>1378950.38170992</v>
      </c>
      <c r="J62" s="12" t="n">
        <f aca="false">IF(J49&lt;0,J49,J54+J55+(J56-J59)*(1-Promote))</f>
        <v>973151.086037178</v>
      </c>
      <c r="K62" s="12" t="n">
        <f aca="false">IF(K49&lt;0,K49,K54+K55+(K56-K59)*(1-Promote))</f>
        <v>1413527.56349119</v>
      </c>
      <c r="L62" s="12" t="n">
        <f aca="false">IF(L49&lt;0,L49,L54+L55+(L56-L59)*(1-Promote))</f>
        <v>19787205.4868739</v>
      </c>
    </row>
    <row r="63" customFormat="false" ht="15" hidden="false" customHeight="false" outlineLevel="0" collapsed="false">
      <c r="A63" s="30" t="s">
        <v>158</v>
      </c>
      <c r="B63" s="26" t="n">
        <f aca="false">-B49</f>
        <v>13834920</v>
      </c>
      <c r="C63" s="26" t="n">
        <f aca="false">C50-C55+C53</f>
        <v>13834920</v>
      </c>
      <c r="D63" s="26" t="n">
        <f aca="false">D50-D55+D53</f>
        <v>13834920</v>
      </c>
      <c r="E63" s="26" t="n">
        <f aca="false">E50-E55+E53</f>
        <v>13834920</v>
      </c>
      <c r="F63" s="26" t="n">
        <f aca="false">F50-F55+F53</f>
        <v>13834920</v>
      </c>
      <c r="G63" s="26" t="n">
        <f aca="false">G50-G55+G53</f>
        <v>13834920</v>
      </c>
      <c r="H63" s="26" t="n">
        <f aca="false">H50-H55+H53</f>
        <v>13834920</v>
      </c>
      <c r="I63" s="26" t="n">
        <f aca="false">I50-I55+I53</f>
        <v>13834920</v>
      </c>
      <c r="J63" s="26" t="n">
        <f aca="false">J50-J55+J53</f>
        <v>13834920</v>
      </c>
      <c r="K63" s="26" t="n">
        <f aca="false">K50-K55+K53</f>
        <v>13834920</v>
      </c>
      <c r="L63" s="26" t="n">
        <f aca="false">L50-L55+L53</f>
        <v>0</v>
      </c>
    </row>
    <row r="64" customFormat="false" ht="15" hidden="false" customHeight="false" outlineLevel="0" collapsed="false">
      <c r="A64" s="30" t="s">
        <v>159</v>
      </c>
      <c r="B64" s="26" t="n">
        <f aca="false">0</f>
        <v>0</v>
      </c>
      <c r="C64" s="26" t="n">
        <f aca="false">C51+C52-C54</f>
        <v>1106793.6</v>
      </c>
      <c r="D64" s="26" t="n">
        <f aca="false">D51+D52-D54</f>
        <v>2068913.856</v>
      </c>
      <c r="E64" s="26" t="n">
        <f aca="false">E51+E52-E54</f>
        <v>2877371.40676</v>
      </c>
      <c r="F64" s="26" t="n">
        <f aca="false">F51+F52-F54</f>
        <v>3215302.0940571</v>
      </c>
      <c r="G64" s="26" t="n">
        <f aca="false">G51+G52-G54</f>
        <v>3361078.21947436</v>
      </c>
      <c r="H64" s="26" t="n">
        <f aca="false">H51+H52-H54</f>
        <v>3564429.64101514</v>
      </c>
      <c r="I64" s="26" t="n">
        <f aca="false">I51+I52-I54</f>
        <v>3577427.23058643</v>
      </c>
      <c r="J64" s="26" t="n">
        <f aca="false">J51+J52-J54</f>
        <v>3997263.92299617</v>
      </c>
      <c r="K64" s="26" t="n">
        <f aca="false">K51+K52-K54</f>
        <v>4010311.07334467</v>
      </c>
      <c r="L64" s="26" t="n">
        <f aca="false">L51+L52-L54</f>
        <v>0</v>
      </c>
    </row>
    <row r="65" customFormat="false" ht="15" hidden="false" customHeight="false" outlineLevel="0" collapsed="false">
      <c r="A65" s="11" t="s">
        <v>149</v>
      </c>
      <c r="B65" s="12" t="n">
        <f aca="false">L57</f>
        <v>13290247.2835387</v>
      </c>
    </row>
    <row r="66" customFormat="false" ht="15" hidden="false" customHeight="false" outlineLevel="0" collapsed="false">
      <c r="A66" s="11" t="s">
        <v>170</v>
      </c>
      <c r="B66" s="12" t="n">
        <f aca="false">L61</f>
        <v>3451150.80280009</v>
      </c>
    </row>
    <row r="68" customFormat="false" ht="15" hidden="false" customHeight="false" outlineLevel="0" collapsed="false">
      <c r="A68" s="4" t="s">
        <v>194</v>
      </c>
      <c r="B68" s="6"/>
      <c r="C68" s="6"/>
      <c r="D68" s="6"/>
      <c r="E68" s="6"/>
      <c r="F68" s="6"/>
      <c r="G68" s="6"/>
      <c r="H68" s="6"/>
      <c r="I68" s="6"/>
      <c r="J68" s="6"/>
      <c r="K68" s="6"/>
      <c r="L68" s="6"/>
    </row>
    <row r="70" customFormat="false" ht="15" hidden="false" customHeight="false" outlineLevel="0" collapsed="false">
      <c r="A70" s="24" t="s">
        <v>55</v>
      </c>
      <c r="B70" s="25" t="n">
        <v>0</v>
      </c>
      <c r="C70" s="25" t="n">
        <f aca="false">B70+1</f>
        <v>1</v>
      </c>
      <c r="D70" s="25" t="n">
        <f aca="false">C70+1</f>
        <v>2</v>
      </c>
      <c r="E70" s="25" t="n">
        <f aca="false">D70+1</f>
        <v>3</v>
      </c>
      <c r="F70" s="25" t="n">
        <f aca="false">E70+1</f>
        <v>4</v>
      </c>
      <c r="G70" s="25" t="n">
        <f aca="false">F70+1</f>
        <v>5</v>
      </c>
      <c r="H70" s="25" t="n">
        <f aca="false">G70+1</f>
        <v>6</v>
      </c>
      <c r="I70" s="25" t="n">
        <f aca="false">H70+1</f>
        <v>7</v>
      </c>
      <c r="J70" s="25" t="n">
        <f aca="false">I70+1</f>
        <v>8</v>
      </c>
      <c r="K70" s="25" t="n">
        <f aca="false">J70+1</f>
        <v>9</v>
      </c>
      <c r="L70" s="25" t="n">
        <f aca="false">K70+1</f>
        <v>10</v>
      </c>
    </row>
    <row r="71" customFormat="false" ht="15" hidden="false" customHeight="false" outlineLevel="0" collapsed="false">
      <c r="A71" s="7" t="s">
        <v>144</v>
      </c>
      <c r="B71" s="26" t="n">
        <f aca="false">B19</f>
        <v>-19056840</v>
      </c>
      <c r="C71" s="26" t="n">
        <f aca="false">C19</f>
        <v>-879267.292</v>
      </c>
      <c r="D71" s="26" t="n">
        <f aca="false">D19</f>
        <v>462896.832</v>
      </c>
      <c r="E71" s="26" t="n">
        <f aca="false">E19</f>
        <v>693529.15772</v>
      </c>
      <c r="F71" s="26" t="n">
        <f aca="false">F19</f>
        <v>1228732.6252437</v>
      </c>
      <c r="G71" s="26" t="n">
        <f aca="false">G19</f>
        <v>1447921.6421073</v>
      </c>
      <c r="H71" s="26" t="n">
        <f aca="false">H19</f>
        <v>1402008.43601717</v>
      </c>
      <c r="I71" s="26" t="n">
        <f aca="false">I19</f>
        <v>1608630.38170992</v>
      </c>
      <c r="J71" s="26" t="n">
        <f aca="false">J19</f>
        <v>1202831.08603718</v>
      </c>
      <c r="K71" s="26" t="n">
        <f aca="false">K19</f>
        <v>1643207.56349119</v>
      </c>
      <c r="L71" s="26" t="n">
        <f aca="false">L19</f>
        <v>28748036.289674</v>
      </c>
    </row>
    <row r="72" customFormat="false" ht="15" hidden="false" customHeight="false" outlineLevel="0" collapsed="false">
      <c r="A72" s="30" t="s">
        <v>145</v>
      </c>
      <c r="B72" s="26" t="n">
        <f aca="false">0</f>
        <v>0</v>
      </c>
      <c r="C72" s="26" t="n">
        <f aca="false">B85</f>
        <v>19056840</v>
      </c>
      <c r="D72" s="26" t="n">
        <f aca="false">C85</f>
        <v>19936107.292</v>
      </c>
      <c r="E72" s="26" t="n">
        <f aca="false">D85</f>
        <v>19936107.292</v>
      </c>
      <c r="F72" s="26" t="n">
        <f aca="false">E85</f>
        <v>19936107.292</v>
      </c>
      <c r="G72" s="26" t="n">
        <f aca="false">F85</f>
        <v>19936107.292</v>
      </c>
      <c r="H72" s="26" t="n">
        <f aca="false">G85</f>
        <v>19936107.292</v>
      </c>
      <c r="I72" s="26" t="n">
        <f aca="false">H85</f>
        <v>19936107.292</v>
      </c>
      <c r="J72" s="26" t="n">
        <f aca="false">I85</f>
        <v>19936107.292</v>
      </c>
      <c r="K72" s="26" t="n">
        <f aca="false">J85</f>
        <v>19936107.292</v>
      </c>
      <c r="L72" s="26" t="n">
        <f aca="false">K85</f>
        <v>19936107.292</v>
      </c>
    </row>
    <row r="73" customFormat="false" ht="15" hidden="false" customHeight="false" outlineLevel="0" collapsed="false">
      <c r="A73" s="30" t="s">
        <v>146</v>
      </c>
      <c r="B73" s="26" t="n">
        <f aca="false">0</f>
        <v>0</v>
      </c>
      <c r="C73" s="26" t="n">
        <f aca="false">B86</f>
        <v>0</v>
      </c>
      <c r="D73" s="26" t="n">
        <f aca="false">C86</f>
        <v>1524547.2</v>
      </c>
      <c r="E73" s="26" t="n">
        <f aca="false">D86</f>
        <v>2778502.72736</v>
      </c>
      <c r="F73" s="26" t="n">
        <f aca="false">E86</f>
        <v>3902142.3711888</v>
      </c>
      <c r="G73" s="26" t="n">
        <f aca="false">F86</f>
        <v>4580469.7190002</v>
      </c>
      <c r="H73" s="26" t="n">
        <f aca="false">G86</f>
        <v>5093874.23777292</v>
      </c>
      <c r="I73" s="26" t="n">
        <f aca="false">H86</f>
        <v>5694264.32413758</v>
      </c>
      <c r="J73" s="26" t="n">
        <f aca="false">I86</f>
        <v>6136063.67171866</v>
      </c>
      <c r="K73" s="26" t="n">
        <f aca="false">J86</f>
        <v>7019006.26277898</v>
      </c>
      <c r="L73" s="26" t="n">
        <f aca="false">K86</f>
        <v>7532207.78367011</v>
      </c>
    </row>
    <row r="74" customFormat="false" ht="15" hidden="false" customHeight="false" outlineLevel="0" collapsed="false">
      <c r="A74" s="30" t="s">
        <v>147</v>
      </c>
      <c r="B74" s="26" t="n">
        <f aca="false">0</f>
        <v>0</v>
      </c>
      <c r="C74" s="26" t="n">
        <f aca="false">(C72+C73)*Pref</f>
        <v>1524547.2</v>
      </c>
      <c r="D74" s="26" t="n">
        <f aca="false">(D72+D73)*Pref</f>
        <v>1716852.35936</v>
      </c>
      <c r="E74" s="26" t="n">
        <f aca="false">(E72+E73)*Pref</f>
        <v>1817168.8015488</v>
      </c>
      <c r="F74" s="26" t="n">
        <f aca="false">(F72+F73)*Pref</f>
        <v>1907059.9730551</v>
      </c>
      <c r="G74" s="26" t="n">
        <f aca="false">(G72+G73)*Pref</f>
        <v>1961326.16088002</v>
      </c>
      <c r="H74" s="26" t="n">
        <f aca="false">(H72+H73)*Pref</f>
        <v>2002398.52238183</v>
      </c>
      <c r="I74" s="26" t="n">
        <f aca="false">(I72+I73)*Pref</f>
        <v>2050429.72929101</v>
      </c>
      <c r="J74" s="26" t="n">
        <f aca="false">(J72+J73)*Pref</f>
        <v>2085773.67709749</v>
      </c>
      <c r="K74" s="26" t="n">
        <f aca="false">(K72+K73)*Pref</f>
        <v>2156409.08438232</v>
      </c>
      <c r="L74" s="26" t="n">
        <f aca="false">(L72+L73)*Pref</f>
        <v>2197465.20605361</v>
      </c>
    </row>
    <row r="75" customFormat="false" ht="15" hidden="false" customHeight="false" outlineLevel="0" collapsed="false">
      <c r="A75" s="30" t="s">
        <v>148</v>
      </c>
      <c r="B75" s="26" t="n">
        <f aca="false">0</f>
        <v>0</v>
      </c>
      <c r="C75" s="26" t="n">
        <f aca="false">IF(C71&lt;0,-C71*1,0)</f>
        <v>879267.292</v>
      </c>
      <c r="D75" s="26" t="n">
        <f aca="false">IF(D71&lt;0,-D71*1,0)</f>
        <v>0</v>
      </c>
      <c r="E75" s="26" t="n">
        <f aca="false">IF(E71&lt;0,-E71*1,0)</f>
        <v>0</v>
      </c>
      <c r="F75" s="26" t="n">
        <f aca="false">IF(F71&lt;0,-F71*1,0)</f>
        <v>0</v>
      </c>
      <c r="G75" s="26" t="n">
        <f aca="false">IF(G71&lt;0,-G71*1,0)</f>
        <v>0</v>
      </c>
      <c r="H75" s="26" t="n">
        <f aca="false">IF(H71&lt;0,-H71*1,0)</f>
        <v>0</v>
      </c>
      <c r="I75" s="26" t="n">
        <f aca="false">IF(I71&lt;0,-I71*1,0)</f>
        <v>0</v>
      </c>
      <c r="J75" s="26" t="n">
        <f aca="false">IF(J71&lt;0,-J71*1,0)</f>
        <v>0</v>
      </c>
      <c r="K75" s="26" t="n">
        <f aca="false">IF(K71&lt;0,-K71*1,0)</f>
        <v>0</v>
      </c>
      <c r="L75" s="26" t="n">
        <f aca="false">IF(L71&lt;0,-L71*1,0)</f>
        <v>0</v>
      </c>
    </row>
    <row r="76" customFormat="false" ht="15" hidden="false" customHeight="false" outlineLevel="0" collapsed="false">
      <c r="A76" s="30" t="s">
        <v>149</v>
      </c>
      <c r="B76" s="26" t="n">
        <f aca="false">0</f>
        <v>0</v>
      </c>
      <c r="C76" s="26" t="n">
        <f aca="false">IF(C71&gt;0,MIN(C71,C73+C74),0)</f>
        <v>0</v>
      </c>
      <c r="D76" s="26" t="n">
        <f aca="false">IF(D71&gt;0,MIN(D71,D73+D74),0)</f>
        <v>462896.832</v>
      </c>
      <c r="E76" s="26" t="n">
        <f aca="false">IF(E71&gt;0,MIN(E71,E73+E74),0)</f>
        <v>693529.15772</v>
      </c>
      <c r="F76" s="26" t="n">
        <f aca="false">IF(F71&gt;0,MIN(F71,F73+F74),0)</f>
        <v>1228732.6252437</v>
      </c>
      <c r="G76" s="26" t="n">
        <f aca="false">IF(G71&gt;0,MIN(G71,G73+G74),0)</f>
        <v>1447921.6421073</v>
      </c>
      <c r="H76" s="26" t="n">
        <f aca="false">IF(H71&gt;0,MIN(H71,H73+H74),0)</f>
        <v>1402008.43601717</v>
      </c>
      <c r="I76" s="26" t="n">
        <f aca="false">IF(I71&gt;0,MIN(I71,I73+I74),0)</f>
        <v>1608630.38170992</v>
      </c>
      <c r="J76" s="26" t="n">
        <f aca="false">IF(J71&gt;0,MIN(J71,J73+J74),0)</f>
        <v>1202831.08603718</v>
      </c>
      <c r="K76" s="26" t="n">
        <f aca="false">IF(K71&gt;0,MIN(K71,K73+K74),0)</f>
        <v>1643207.56349119</v>
      </c>
      <c r="L76" s="26" t="n">
        <f aca="false">IF(L71&gt;0,MIN(L71,L73+L74),0)</f>
        <v>9729672.98972372</v>
      </c>
    </row>
    <row r="77" customFormat="false" ht="15" hidden="false" customHeight="false" outlineLevel="0" collapsed="false">
      <c r="A77" s="30" t="s">
        <v>150</v>
      </c>
      <c r="B77" s="26" t="n">
        <f aca="false">0</f>
        <v>0</v>
      </c>
      <c r="C77" s="26" t="n">
        <f aca="false">IF(C71&gt;0,MIN(C71-C76,C72),0)</f>
        <v>0</v>
      </c>
      <c r="D77" s="26" t="n">
        <f aca="false">IF(D71&gt;0,MIN(D71-D76,D72),0)</f>
        <v>0</v>
      </c>
      <c r="E77" s="26" t="n">
        <f aca="false">IF(E71&gt;0,MIN(E71-E76,E72),0)</f>
        <v>0</v>
      </c>
      <c r="F77" s="26" t="n">
        <f aca="false">IF(F71&gt;0,MIN(F71-F76,F72),0)</f>
        <v>0</v>
      </c>
      <c r="G77" s="26" t="n">
        <f aca="false">IF(G71&gt;0,MIN(G71-G76,G72),0)</f>
        <v>0</v>
      </c>
      <c r="H77" s="26" t="n">
        <f aca="false">IF(H71&gt;0,MIN(H71-H76,H72),0)</f>
        <v>0</v>
      </c>
      <c r="I77" s="26" t="n">
        <f aca="false">IF(I71&gt;0,MIN(I71-I76,I72),0)</f>
        <v>0</v>
      </c>
      <c r="J77" s="26" t="n">
        <f aca="false">IF(J71&gt;0,MIN(J71-J76,J72),0)</f>
        <v>0</v>
      </c>
      <c r="K77" s="26" t="n">
        <f aca="false">IF(K71&gt;0,MIN(K71-K76,K72),0)</f>
        <v>0</v>
      </c>
      <c r="L77" s="26" t="n">
        <f aca="false">IF(L71&gt;0,MIN(L71-L76,L72),0)</f>
        <v>19018363.2999502</v>
      </c>
    </row>
    <row r="78" customFormat="false" ht="15" hidden="false" customHeight="false" outlineLevel="0" collapsed="false">
      <c r="A78" s="30" t="s">
        <v>151</v>
      </c>
      <c r="B78" s="26" t="n">
        <f aca="false">0</f>
        <v>0</v>
      </c>
      <c r="C78" s="26" t="n">
        <f aca="false">IF(C71&gt;0,C71-C76-C77,0)</f>
        <v>0</v>
      </c>
      <c r="D78" s="26" t="n">
        <f aca="false">IF(D71&gt;0,D71-D76-D77,0)</f>
        <v>0</v>
      </c>
      <c r="E78" s="26" t="n">
        <f aca="false">IF(E71&gt;0,E71-E76-E77,0)</f>
        <v>0</v>
      </c>
      <c r="F78" s="26" t="n">
        <f aca="false">IF(F71&gt;0,F71-F76-F77,0)</f>
        <v>0</v>
      </c>
      <c r="G78" s="26" t="n">
        <f aca="false">IF(G71&gt;0,G71-G76-G77,0)</f>
        <v>0</v>
      </c>
      <c r="H78" s="26" t="n">
        <f aca="false">IF(H71&gt;0,H71-H76-H77,0)</f>
        <v>0</v>
      </c>
      <c r="I78" s="26" t="n">
        <f aca="false">IF(I71&gt;0,I71-I76-I77,0)</f>
        <v>0</v>
      </c>
      <c r="J78" s="26" t="n">
        <f aca="false">IF(J71&gt;0,J71-J76-J77,0)</f>
        <v>0</v>
      </c>
      <c r="K78" s="26" t="n">
        <f aca="false">IF(K71&gt;0,K71-K76-K77,0)</f>
        <v>0</v>
      </c>
      <c r="L78" s="26" t="n">
        <f aca="false">IF(L71&gt;0,L71-L76-L77,0)</f>
        <v>0</v>
      </c>
    </row>
    <row r="79" customFormat="false" ht="15" hidden="false" customHeight="false" outlineLevel="0" collapsed="false">
      <c r="A79" s="30" t="s">
        <v>152</v>
      </c>
      <c r="B79" s="26" t="n">
        <f aca="false">0</f>
        <v>0</v>
      </c>
      <c r="C79" s="26" t="n">
        <f aca="false">B79+C76</f>
        <v>0</v>
      </c>
      <c r="D79" s="26" t="n">
        <f aca="false">C79+D76</f>
        <v>462896.832</v>
      </c>
      <c r="E79" s="26" t="n">
        <f aca="false">D79+E76</f>
        <v>1156425.98972</v>
      </c>
      <c r="F79" s="26" t="n">
        <f aca="false">E79+F76</f>
        <v>2385158.6149637</v>
      </c>
      <c r="G79" s="26" t="n">
        <f aca="false">F79+G76</f>
        <v>3833080.257071</v>
      </c>
      <c r="H79" s="26" t="n">
        <f aca="false">G79+H76</f>
        <v>5235088.69308818</v>
      </c>
      <c r="I79" s="26" t="n">
        <f aca="false">H79+I76</f>
        <v>6843719.0747981</v>
      </c>
      <c r="J79" s="26" t="n">
        <f aca="false">I79+J76</f>
        <v>8046550.16083527</v>
      </c>
      <c r="K79" s="26" t="n">
        <f aca="false">J79+K76</f>
        <v>9689757.72432646</v>
      </c>
      <c r="L79" s="26" t="n">
        <f aca="false">K79+L76</f>
        <v>19419430.7140502</v>
      </c>
    </row>
    <row r="80" customFormat="false" ht="15" hidden="false" customHeight="false" outlineLevel="0" collapsed="false">
      <c r="A80" s="30" t="s">
        <v>153</v>
      </c>
      <c r="B80" s="26" t="n">
        <f aca="false">0</f>
        <v>0</v>
      </c>
      <c r="C80" s="26" t="n">
        <f aca="false">C79*CatchUp</f>
        <v>0</v>
      </c>
      <c r="D80" s="26" t="n">
        <f aca="false">D79*CatchUp</f>
        <v>115724.208</v>
      </c>
      <c r="E80" s="26" t="n">
        <f aca="false">E79*CatchUp</f>
        <v>289106.49743</v>
      </c>
      <c r="F80" s="26" t="n">
        <f aca="false">F79*CatchUp</f>
        <v>596289.653740925</v>
      </c>
      <c r="G80" s="26" t="n">
        <f aca="false">G79*CatchUp</f>
        <v>958270.064267751</v>
      </c>
      <c r="H80" s="26" t="n">
        <f aca="false">H79*CatchUp</f>
        <v>1308772.17327204</v>
      </c>
      <c r="I80" s="26" t="n">
        <f aca="false">I79*CatchUp</f>
        <v>1710929.76869952</v>
      </c>
      <c r="J80" s="26" t="n">
        <f aca="false">J79*CatchUp</f>
        <v>2011637.54020882</v>
      </c>
      <c r="K80" s="26" t="n">
        <f aca="false">K79*CatchUp</f>
        <v>2422439.43108162</v>
      </c>
      <c r="L80" s="26" t="n">
        <f aca="false">L79*CatchUp</f>
        <v>4854857.67851255</v>
      </c>
    </row>
    <row r="81" customFormat="false" ht="15" hidden="false" customHeight="false" outlineLevel="0" collapsed="false">
      <c r="A81" s="30" t="s">
        <v>154</v>
      </c>
      <c r="B81" s="26" t="n">
        <f aca="false">0</f>
        <v>0</v>
      </c>
      <c r="C81" s="26" t="n">
        <f aca="false">MIN(C78,MAX(0,C80-B83))</f>
        <v>0</v>
      </c>
      <c r="D81" s="26" t="n">
        <f aca="false">MIN(D78,MAX(0,D80-C83))</f>
        <v>0</v>
      </c>
      <c r="E81" s="26" t="n">
        <f aca="false">MIN(E78,MAX(0,E80-D83))</f>
        <v>0</v>
      </c>
      <c r="F81" s="26" t="n">
        <f aca="false">MIN(F78,MAX(0,F80-E83))</f>
        <v>0</v>
      </c>
      <c r="G81" s="26" t="n">
        <f aca="false">MIN(G78,MAX(0,G80-F83))</f>
        <v>0</v>
      </c>
      <c r="H81" s="26" t="n">
        <f aca="false">MIN(H78,MAX(0,H80-G83))</f>
        <v>0</v>
      </c>
      <c r="I81" s="26" t="n">
        <f aca="false">MIN(I78,MAX(0,I80-H83))</f>
        <v>0</v>
      </c>
      <c r="J81" s="26" t="n">
        <f aca="false">MIN(J78,MAX(0,J80-I83))</f>
        <v>0</v>
      </c>
      <c r="K81" s="26" t="n">
        <f aca="false">MIN(K78,MAX(0,K80-J83))</f>
        <v>0</v>
      </c>
      <c r="L81" s="26" t="n">
        <f aca="false">MIN(L78,MAX(0,L80-K83))</f>
        <v>0</v>
      </c>
    </row>
    <row r="82" customFormat="false" ht="15" hidden="false" customHeight="false" outlineLevel="0" collapsed="false">
      <c r="A82" s="30" t="s">
        <v>155</v>
      </c>
      <c r="B82" s="26" t="n">
        <f aca="false">0</f>
        <v>0</v>
      </c>
      <c r="C82" s="26" t="n">
        <f aca="false">(C78-C81)*Promote</f>
        <v>0</v>
      </c>
      <c r="D82" s="26" t="n">
        <f aca="false">(D78-D81)*Promote</f>
        <v>0</v>
      </c>
      <c r="E82" s="26" t="n">
        <f aca="false">(E78-E81)*Promote</f>
        <v>0</v>
      </c>
      <c r="F82" s="26" t="n">
        <f aca="false">(F78-F81)*Promote</f>
        <v>0</v>
      </c>
      <c r="G82" s="26" t="n">
        <f aca="false">(G78-G81)*Promote</f>
        <v>0</v>
      </c>
      <c r="H82" s="26" t="n">
        <f aca="false">(H78-H81)*Promote</f>
        <v>0</v>
      </c>
      <c r="I82" s="26" t="n">
        <f aca="false">(I78-I81)*Promote</f>
        <v>0</v>
      </c>
      <c r="J82" s="26" t="n">
        <f aca="false">(J78-J81)*Promote</f>
        <v>0</v>
      </c>
      <c r="K82" s="26" t="n">
        <f aca="false">(K78-K81)*Promote</f>
        <v>0</v>
      </c>
      <c r="L82" s="26" t="n">
        <f aca="false">(L78-L81)*Promote</f>
        <v>0</v>
      </c>
    </row>
    <row r="83" customFormat="false" ht="15" hidden="false" customHeight="false" outlineLevel="0" collapsed="false">
      <c r="A83" s="30" t="s">
        <v>156</v>
      </c>
      <c r="B83" s="26" t="n">
        <f aca="false">0</f>
        <v>0</v>
      </c>
      <c r="C83" s="26" t="n">
        <f aca="false">B83+C81+C82</f>
        <v>0</v>
      </c>
      <c r="D83" s="26" t="n">
        <f aca="false">C83+D81+D82</f>
        <v>0</v>
      </c>
      <c r="E83" s="26" t="n">
        <f aca="false">D83+E81+E82</f>
        <v>0</v>
      </c>
      <c r="F83" s="26" t="n">
        <f aca="false">E83+F81+F82</f>
        <v>0</v>
      </c>
      <c r="G83" s="26" t="n">
        <f aca="false">F83+G81+G82</f>
        <v>0</v>
      </c>
      <c r="H83" s="26" t="n">
        <f aca="false">G83+H81+H82</f>
        <v>0</v>
      </c>
      <c r="I83" s="26" t="n">
        <f aca="false">H83+I81+I82</f>
        <v>0</v>
      </c>
      <c r="J83" s="26" t="n">
        <f aca="false">I83+J81+J82</f>
        <v>0</v>
      </c>
      <c r="K83" s="26" t="n">
        <f aca="false">J83+K81+K82</f>
        <v>0</v>
      </c>
      <c r="L83" s="26" t="n">
        <f aca="false">K83+L81+L82</f>
        <v>0</v>
      </c>
    </row>
    <row r="84" customFormat="false" ht="15" hidden="false" customHeight="false" outlineLevel="0" collapsed="false">
      <c r="A84" s="31" t="s">
        <v>157</v>
      </c>
      <c r="B84" s="12" t="n">
        <f aca="false">B71</f>
        <v>-19056840</v>
      </c>
      <c r="C84" s="12" t="n">
        <f aca="false">IF(C71&lt;0,C71,C76+C77+(C78-C81)*(1-Promote))</f>
        <v>-879267.292</v>
      </c>
      <c r="D84" s="12" t="n">
        <f aca="false">IF(D71&lt;0,D71,D76+D77+(D78-D81)*(1-Promote))</f>
        <v>462896.832</v>
      </c>
      <c r="E84" s="12" t="n">
        <f aca="false">IF(E71&lt;0,E71,E76+E77+(E78-E81)*(1-Promote))</f>
        <v>693529.15772</v>
      </c>
      <c r="F84" s="12" t="n">
        <f aca="false">IF(F71&lt;0,F71,F76+F77+(F78-F81)*(1-Promote))</f>
        <v>1228732.6252437</v>
      </c>
      <c r="G84" s="12" t="n">
        <f aca="false">IF(G71&lt;0,G71,G76+G77+(G78-G81)*(1-Promote))</f>
        <v>1447921.6421073</v>
      </c>
      <c r="H84" s="12" t="n">
        <f aca="false">IF(H71&lt;0,H71,H76+H77+(H78-H81)*(1-Promote))</f>
        <v>1402008.43601717</v>
      </c>
      <c r="I84" s="12" t="n">
        <f aca="false">IF(I71&lt;0,I71,I76+I77+(I78-I81)*(1-Promote))</f>
        <v>1608630.38170992</v>
      </c>
      <c r="J84" s="12" t="n">
        <f aca="false">IF(J71&lt;0,J71,J76+J77+(J78-J81)*(1-Promote))</f>
        <v>1202831.08603718</v>
      </c>
      <c r="K84" s="12" t="n">
        <f aca="false">IF(K71&lt;0,K71,K76+K77+(K78-K81)*(1-Promote))</f>
        <v>1643207.56349119</v>
      </c>
      <c r="L84" s="12" t="n">
        <f aca="false">IF(L71&lt;0,L71,L76+L77+(L78-L81)*(1-Promote))</f>
        <v>28748036.289674</v>
      </c>
    </row>
    <row r="85" customFormat="false" ht="15" hidden="false" customHeight="false" outlineLevel="0" collapsed="false">
      <c r="A85" s="30" t="s">
        <v>158</v>
      </c>
      <c r="B85" s="26" t="n">
        <f aca="false">-B71</f>
        <v>19056840</v>
      </c>
      <c r="C85" s="26" t="n">
        <f aca="false">C72-C77+C75</f>
        <v>19936107.292</v>
      </c>
      <c r="D85" s="26" t="n">
        <f aca="false">D72-D77+D75</f>
        <v>19936107.292</v>
      </c>
      <c r="E85" s="26" t="n">
        <f aca="false">E72-E77+E75</f>
        <v>19936107.292</v>
      </c>
      <c r="F85" s="26" t="n">
        <f aca="false">F72-F77+F75</f>
        <v>19936107.292</v>
      </c>
      <c r="G85" s="26" t="n">
        <f aca="false">G72-G77+G75</f>
        <v>19936107.292</v>
      </c>
      <c r="H85" s="26" t="n">
        <f aca="false">H72-H77+H75</f>
        <v>19936107.292</v>
      </c>
      <c r="I85" s="26" t="n">
        <f aca="false">I72-I77+I75</f>
        <v>19936107.292</v>
      </c>
      <c r="J85" s="26" t="n">
        <f aca="false">J72-J77+J75</f>
        <v>19936107.292</v>
      </c>
      <c r="K85" s="26" t="n">
        <f aca="false">K72-K77+K75</f>
        <v>19936107.292</v>
      </c>
      <c r="L85" s="26" t="n">
        <f aca="false">L72-L77+L75</f>
        <v>917743.992049757</v>
      </c>
    </row>
    <row r="86" customFormat="false" ht="15" hidden="false" customHeight="false" outlineLevel="0" collapsed="false">
      <c r="A86" s="30" t="s">
        <v>159</v>
      </c>
      <c r="B86" s="26" t="n">
        <f aca="false">0</f>
        <v>0</v>
      </c>
      <c r="C86" s="26" t="n">
        <f aca="false">C73+C74-C76</f>
        <v>1524547.2</v>
      </c>
      <c r="D86" s="26" t="n">
        <f aca="false">D73+D74-D76</f>
        <v>2778502.72736</v>
      </c>
      <c r="E86" s="26" t="n">
        <f aca="false">E73+E74-E76</f>
        <v>3902142.3711888</v>
      </c>
      <c r="F86" s="26" t="n">
        <f aca="false">F73+F74-F76</f>
        <v>4580469.7190002</v>
      </c>
      <c r="G86" s="26" t="n">
        <f aca="false">G73+G74-G76</f>
        <v>5093874.23777292</v>
      </c>
      <c r="H86" s="26" t="n">
        <f aca="false">H73+H74-H76</f>
        <v>5694264.32413758</v>
      </c>
      <c r="I86" s="26" t="n">
        <f aca="false">I73+I74-I76</f>
        <v>6136063.67171866</v>
      </c>
      <c r="J86" s="26" t="n">
        <f aca="false">J73+J74-J76</f>
        <v>7019006.26277898</v>
      </c>
      <c r="K86" s="26" t="n">
        <f aca="false">K73+K74-K76</f>
        <v>7532207.78367011</v>
      </c>
      <c r="L86" s="26" t="n">
        <f aca="false">L73+L74-L76</f>
        <v>0</v>
      </c>
    </row>
    <row r="87" customFormat="false" ht="15" hidden="false" customHeight="false" outlineLevel="0" collapsed="false">
      <c r="A87" s="11" t="s">
        <v>149</v>
      </c>
      <c r="B87" s="12" t="n">
        <f aca="false">L79</f>
        <v>19419430.7140502</v>
      </c>
    </row>
    <row r="88" customFormat="false" ht="15" hidden="false" customHeight="false" outlineLevel="0" collapsed="false">
      <c r="A88" s="11" t="s">
        <v>170</v>
      </c>
      <c r="B88" s="12" t="n">
        <f aca="false">L83</f>
        <v>0</v>
      </c>
    </row>
    <row r="90" customFormat="false" ht="15" hidden="false" customHeight="false" outlineLevel="0" collapsed="false">
      <c r="A90" s="4" t="s">
        <v>195</v>
      </c>
      <c r="B90" s="6"/>
      <c r="C90" s="6"/>
      <c r="D90" s="6"/>
      <c r="E90" s="6"/>
      <c r="F90" s="6"/>
      <c r="G90" s="6"/>
      <c r="H90" s="6"/>
      <c r="I90" s="6"/>
      <c r="J90" s="6"/>
      <c r="K90" s="6"/>
      <c r="L90" s="6"/>
    </row>
    <row r="92" customFormat="false" ht="15" hidden="false" customHeight="false" outlineLevel="0" collapsed="false">
      <c r="A92" s="24" t="s">
        <v>55</v>
      </c>
      <c r="B92" s="25" t="n">
        <v>0</v>
      </c>
      <c r="C92" s="25" t="n">
        <f aca="false">B92+1</f>
        <v>1</v>
      </c>
      <c r="D92" s="25" t="n">
        <f aca="false">C92+1</f>
        <v>2</v>
      </c>
      <c r="E92" s="25" t="n">
        <f aca="false">D92+1</f>
        <v>3</v>
      </c>
      <c r="F92" s="25" t="n">
        <f aca="false">E92+1</f>
        <v>4</v>
      </c>
      <c r="G92" s="25" t="n">
        <f aca="false">F92+1</f>
        <v>5</v>
      </c>
      <c r="H92" s="25" t="n">
        <f aca="false">G92+1</f>
        <v>6</v>
      </c>
      <c r="I92" s="25" t="n">
        <f aca="false">H92+1</f>
        <v>7</v>
      </c>
      <c r="J92" s="25" t="n">
        <f aca="false">I92+1</f>
        <v>8</v>
      </c>
      <c r="K92" s="25" t="n">
        <f aca="false">J92+1</f>
        <v>9</v>
      </c>
      <c r="L92" s="25" t="n">
        <f aca="false">K92+1</f>
        <v>10</v>
      </c>
    </row>
    <row r="93" customFormat="false" ht="15" hidden="false" customHeight="false" outlineLevel="0" collapsed="false">
      <c r="A93" s="7" t="s">
        <v>144</v>
      </c>
      <c r="B93" s="26" t="n">
        <f aca="false">B19</f>
        <v>-19056840</v>
      </c>
      <c r="C93" s="26" t="n">
        <f aca="false">C19</f>
        <v>-879267.292</v>
      </c>
      <c r="D93" s="26" t="n">
        <f aca="false">D19</f>
        <v>462896.832</v>
      </c>
      <c r="E93" s="26" t="n">
        <f aca="false">E19</f>
        <v>693529.15772</v>
      </c>
      <c r="F93" s="26" t="n">
        <f aca="false">F19</f>
        <v>1228732.6252437</v>
      </c>
      <c r="G93" s="26" t="n">
        <f aca="false">G19</f>
        <v>1447921.6421073</v>
      </c>
      <c r="H93" s="26" t="n">
        <f aca="false">H19</f>
        <v>1402008.43601717</v>
      </c>
      <c r="I93" s="26" t="n">
        <f aca="false">I19</f>
        <v>1608630.38170992</v>
      </c>
      <c r="J93" s="26" t="n">
        <f aca="false">J19</f>
        <v>1202831.08603718</v>
      </c>
      <c r="K93" s="26" t="n">
        <f aca="false">K19</f>
        <v>1643207.56349119</v>
      </c>
      <c r="L93" s="26" t="n">
        <f aca="false">L19</f>
        <v>28748036.289674</v>
      </c>
    </row>
    <row r="94" customFormat="false" ht="15" hidden="false" customHeight="false" outlineLevel="0" collapsed="false">
      <c r="A94" s="30" t="s">
        <v>145</v>
      </c>
      <c r="B94" s="26" t="n">
        <f aca="false">0</f>
        <v>0</v>
      </c>
      <c r="C94" s="26" t="n">
        <f aca="false">B107</f>
        <v>19056840</v>
      </c>
      <c r="D94" s="26" t="n">
        <f aca="false">C107</f>
        <v>19056840</v>
      </c>
      <c r="E94" s="26" t="n">
        <f aca="false">D107</f>
        <v>19056840</v>
      </c>
      <c r="F94" s="26" t="n">
        <f aca="false">E107</f>
        <v>19056840</v>
      </c>
      <c r="G94" s="26" t="n">
        <f aca="false">F107</f>
        <v>19056840</v>
      </c>
      <c r="H94" s="26" t="n">
        <f aca="false">G107</f>
        <v>19056840</v>
      </c>
      <c r="I94" s="26" t="n">
        <f aca="false">H107</f>
        <v>19056840</v>
      </c>
      <c r="J94" s="26" t="n">
        <f aca="false">I107</f>
        <v>19056840</v>
      </c>
      <c r="K94" s="26" t="n">
        <f aca="false">J107</f>
        <v>19056840</v>
      </c>
      <c r="L94" s="26" t="n">
        <f aca="false">K107</f>
        <v>19056840</v>
      </c>
    </row>
    <row r="95" customFormat="false" ht="15" hidden="false" customHeight="false" outlineLevel="0" collapsed="false">
      <c r="A95" s="30" t="s">
        <v>146</v>
      </c>
      <c r="B95" s="26" t="n">
        <f aca="false">0</f>
        <v>0</v>
      </c>
      <c r="C95" s="26" t="n">
        <f aca="false">B108</f>
        <v>0</v>
      </c>
      <c r="D95" s="26" t="n">
        <f aca="false">C108</f>
        <v>1524547.2</v>
      </c>
      <c r="E95" s="26" t="n">
        <f aca="false">D108</f>
        <v>2708161.344</v>
      </c>
      <c r="F95" s="26" t="n">
        <f aca="false">E108</f>
        <v>3755832.2938</v>
      </c>
      <c r="G95" s="26" t="n">
        <f aca="false">F108</f>
        <v>4352113.4520603</v>
      </c>
      <c r="H95" s="26" t="n">
        <f aca="false">G108</f>
        <v>4776908.08611782</v>
      </c>
      <c r="I95" s="26" t="n">
        <f aca="false">H108</f>
        <v>5281599.49699007</v>
      </c>
      <c r="J95" s="26" t="n">
        <f aca="false">I108</f>
        <v>5620044.27503936</v>
      </c>
      <c r="K95" s="26" t="n">
        <f aca="false">J108</f>
        <v>6391363.93100533</v>
      </c>
      <c r="L95" s="26" t="n">
        <f aca="false">K108</f>
        <v>6784012.68199457</v>
      </c>
    </row>
    <row r="96" customFormat="false" ht="15" hidden="false" customHeight="false" outlineLevel="0" collapsed="false">
      <c r="A96" s="30" t="s">
        <v>147</v>
      </c>
      <c r="B96" s="26" t="n">
        <f aca="false">0</f>
        <v>0</v>
      </c>
      <c r="C96" s="26" t="n">
        <f aca="false">(C94+C95)*Pref</f>
        <v>1524547.2</v>
      </c>
      <c r="D96" s="26" t="n">
        <f aca="false">(D94+D95)*Pref</f>
        <v>1646510.976</v>
      </c>
      <c r="E96" s="26" t="n">
        <f aca="false">(E94+E95)*Pref</f>
        <v>1741200.10752</v>
      </c>
      <c r="F96" s="26" t="n">
        <f aca="false">(F94+F95)*Pref</f>
        <v>1825013.783504</v>
      </c>
      <c r="G96" s="26" t="n">
        <f aca="false">(G94+G95)*Pref</f>
        <v>1872716.27616482</v>
      </c>
      <c r="H96" s="26" t="n">
        <f aca="false">(H94+H95)*Pref</f>
        <v>1906699.84688943</v>
      </c>
      <c r="I96" s="26" t="n">
        <f aca="false">(I94+I95)*Pref</f>
        <v>1947075.15975921</v>
      </c>
      <c r="J96" s="26" t="n">
        <f aca="false">(J94+J95)*Pref</f>
        <v>1974150.74200315</v>
      </c>
      <c r="K96" s="26" t="n">
        <f aca="false">(K94+K95)*Pref</f>
        <v>2035856.31448043</v>
      </c>
      <c r="L96" s="26" t="n">
        <f aca="false">(L94+L95)*Pref</f>
        <v>2067268.21455957</v>
      </c>
    </row>
    <row r="97" customFormat="false" ht="15" hidden="false" customHeight="false" outlineLevel="0" collapsed="false">
      <c r="A97" s="30" t="s">
        <v>148</v>
      </c>
      <c r="B97" s="26" t="n">
        <f aca="false">0</f>
        <v>0</v>
      </c>
      <c r="C97" s="26" t="n">
        <f aca="false">IF(C93&lt;0,-C93*0,0)</f>
        <v>0</v>
      </c>
      <c r="D97" s="26" t="n">
        <f aca="false">IF(D93&lt;0,-D93*0,0)</f>
        <v>0</v>
      </c>
      <c r="E97" s="26" t="n">
        <f aca="false">IF(E93&lt;0,-E93*0,0)</f>
        <v>0</v>
      </c>
      <c r="F97" s="26" t="n">
        <f aca="false">IF(F93&lt;0,-F93*0,0)</f>
        <v>0</v>
      </c>
      <c r="G97" s="26" t="n">
        <f aca="false">IF(G93&lt;0,-G93*0,0)</f>
        <v>0</v>
      </c>
      <c r="H97" s="26" t="n">
        <f aca="false">IF(H93&lt;0,-H93*0,0)</f>
        <v>0</v>
      </c>
      <c r="I97" s="26" t="n">
        <f aca="false">IF(I93&lt;0,-I93*0,0)</f>
        <v>0</v>
      </c>
      <c r="J97" s="26" t="n">
        <f aca="false">IF(J93&lt;0,-J93*0,0)</f>
        <v>0</v>
      </c>
      <c r="K97" s="26" t="n">
        <f aca="false">IF(K93&lt;0,-K93*0,0)</f>
        <v>0</v>
      </c>
      <c r="L97" s="26" t="n">
        <f aca="false">IF(L93&lt;0,-L93*0,0)</f>
        <v>0</v>
      </c>
    </row>
    <row r="98" customFormat="false" ht="15" hidden="false" customHeight="false" outlineLevel="0" collapsed="false">
      <c r="A98" s="30" t="s">
        <v>149</v>
      </c>
      <c r="B98" s="26" t="n">
        <f aca="false">0</f>
        <v>0</v>
      </c>
      <c r="C98" s="26" t="n">
        <f aca="false">IF(C93&gt;0,MIN(C93,C95+C96),0)</f>
        <v>0</v>
      </c>
      <c r="D98" s="26" t="n">
        <f aca="false">IF(D93&gt;0,MIN(D93,D95+D96),0)</f>
        <v>462896.832</v>
      </c>
      <c r="E98" s="26" t="n">
        <f aca="false">IF(E93&gt;0,MIN(E93,E95+E96),0)</f>
        <v>693529.15772</v>
      </c>
      <c r="F98" s="26" t="n">
        <f aca="false">IF(F93&gt;0,MIN(F93,F95+F96),0)</f>
        <v>1228732.6252437</v>
      </c>
      <c r="G98" s="26" t="n">
        <f aca="false">IF(G93&gt;0,MIN(G93,G95+G96),0)</f>
        <v>1447921.6421073</v>
      </c>
      <c r="H98" s="26" t="n">
        <f aca="false">IF(H93&gt;0,MIN(H93,H95+H96),0)</f>
        <v>1402008.43601717</v>
      </c>
      <c r="I98" s="26" t="n">
        <f aca="false">IF(I93&gt;0,MIN(I93,I95+I96),0)</f>
        <v>1608630.38170992</v>
      </c>
      <c r="J98" s="26" t="n">
        <f aca="false">IF(J93&gt;0,MIN(J93,J95+J96),0)</f>
        <v>1202831.08603718</v>
      </c>
      <c r="K98" s="26" t="n">
        <f aca="false">IF(K93&gt;0,MIN(K93,K95+K96),0)</f>
        <v>1643207.56349119</v>
      </c>
      <c r="L98" s="26" t="n">
        <f aca="false">IF(L93&gt;0,MIN(L93,L95+L96),0)</f>
        <v>8851280.89655414</v>
      </c>
    </row>
    <row r="99" customFormat="false" ht="15" hidden="false" customHeight="false" outlineLevel="0" collapsed="false">
      <c r="A99" s="30" t="s">
        <v>150</v>
      </c>
      <c r="B99" s="26" t="n">
        <f aca="false">0</f>
        <v>0</v>
      </c>
      <c r="C99" s="26" t="n">
        <f aca="false">IF(C93&gt;0,MIN(C93-C98,C94),0)</f>
        <v>0</v>
      </c>
      <c r="D99" s="26" t="n">
        <f aca="false">IF(D93&gt;0,MIN(D93-D98,D94),0)</f>
        <v>0</v>
      </c>
      <c r="E99" s="26" t="n">
        <f aca="false">IF(E93&gt;0,MIN(E93-E98,E94),0)</f>
        <v>0</v>
      </c>
      <c r="F99" s="26" t="n">
        <f aca="false">IF(F93&gt;0,MIN(F93-F98,F94),0)</f>
        <v>0</v>
      </c>
      <c r="G99" s="26" t="n">
        <f aca="false">IF(G93&gt;0,MIN(G93-G98,G94),0)</f>
        <v>0</v>
      </c>
      <c r="H99" s="26" t="n">
        <f aca="false">IF(H93&gt;0,MIN(H93-H98,H94),0)</f>
        <v>0</v>
      </c>
      <c r="I99" s="26" t="n">
        <f aca="false">IF(I93&gt;0,MIN(I93-I98,I94),0)</f>
        <v>0</v>
      </c>
      <c r="J99" s="26" t="n">
        <f aca="false">IF(J93&gt;0,MIN(J93-J98,J94),0)</f>
        <v>0</v>
      </c>
      <c r="K99" s="26" t="n">
        <f aca="false">IF(K93&gt;0,MIN(K93-K98,K94),0)</f>
        <v>0</v>
      </c>
      <c r="L99" s="26" t="n">
        <f aca="false">IF(L93&gt;0,MIN(L93-L98,L94),0)</f>
        <v>19056840</v>
      </c>
    </row>
    <row r="100" customFormat="false" ht="15" hidden="false" customHeight="false" outlineLevel="0" collapsed="false">
      <c r="A100" s="30" t="s">
        <v>151</v>
      </c>
      <c r="B100" s="26" t="n">
        <f aca="false">0</f>
        <v>0</v>
      </c>
      <c r="C100" s="26" t="n">
        <f aca="false">IF(C93&gt;0,C93-C98-C99,0)</f>
        <v>0</v>
      </c>
      <c r="D100" s="26" t="n">
        <f aca="false">IF(D93&gt;0,D93-D98-D99,0)</f>
        <v>0</v>
      </c>
      <c r="E100" s="26" t="n">
        <f aca="false">IF(E93&gt;0,E93-E98-E99,0)</f>
        <v>0</v>
      </c>
      <c r="F100" s="26" t="n">
        <f aca="false">IF(F93&gt;0,F93-F98-F99,0)</f>
        <v>0</v>
      </c>
      <c r="G100" s="26" t="n">
        <f aca="false">IF(G93&gt;0,G93-G98-G99,0)</f>
        <v>0</v>
      </c>
      <c r="H100" s="26" t="n">
        <f aca="false">IF(H93&gt;0,H93-H98-H99,0)</f>
        <v>0</v>
      </c>
      <c r="I100" s="26" t="n">
        <f aca="false">IF(I93&gt;0,I93-I98-I99,0)</f>
        <v>0</v>
      </c>
      <c r="J100" s="26" t="n">
        <f aca="false">IF(J93&gt;0,J93-J98-J99,0)</f>
        <v>0</v>
      </c>
      <c r="K100" s="26" t="n">
        <f aca="false">IF(K93&gt;0,K93-K98-K99,0)</f>
        <v>0</v>
      </c>
      <c r="L100" s="26" t="n">
        <f aca="false">IF(L93&gt;0,L93-L98-L99,0)</f>
        <v>839915.393119827</v>
      </c>
    </row>
    <row r="101" customFormat="false" ht="15" hidden="false" customHeight="false" outlineLevel="0" collapsed="false">
      <c r="A101" s="30" t="s">
        <v>152</v>
      </c>
      <c r="B101" s="26" t="n">
        <f aca="false">0</f>
        <v>0</v>
      </c>
      <c r="C101" s="26" t="n">
        <f aca="false">B101+C98</f>
        <v>0</v>
      </c>
      <c r="D101" s="26" t="n">
        <f aca="false">C101+D98</f>
        <v>462896.832</v>
      </c>
      <c r="E101" s="26" t="n">
        <f aca="false">D101+E98</f>
        <v>1156425.98972</v>
      </c>
      <c r="F101" s="26" t="n">
        <f aca="false">E101+F98</f>
        <v>2385158.6149637</v>
      </c>
      <c r="G101" s="26" t="n">
        <f aca="false">F101+G98</f>
        <v>3833080.257071</v>
      </c>
      <c r="H101" s="26" t="n">
        <f aca="false">G101+H98</f>
        <v>5235088.69308818</v>
      </c>
      <c r="I101" s="26" t="n">
        <f aca="false">H101+I98</f>
        <v>6843719.0747981</v>
      </c>
      <c r="J101" s="26" t="n">
        <f aca="false">I101+J98</f>
        <v>8046550.16083527</v>
      </c>
      <c r="K101" s="26" t="n">
        <f aca="false">J101+K98</f>
        <v>9689757.72432646</v>
      </c>
      <c r="L101" s="26" t="n">
        <f aca="false">K101+L98</f>
        <v>18541038.6208806</v>
      </c>
    </row>
    <row r="102" customFormat="false" ht="15" hidden="false" customHeight="false" outlineLevel="0" collapsed="false">
      <c r="A102" s="30" t="s">
        <v>153</v>
      </c>
      <c r="B102" s="26" t="n">
        <f aca="false">0</f>
        <v>0</v>
      </c>
      <c r="C102" s="26" t="n">
        <f aca="false">C101*CatchUp</f>
        <v>0</v>
      </c>
      <c r="D102" s="26" t="n">
        <f aca="false">D101*CatchUp</f>
        <v>115724.208</v>
      </c>
      <c r="E102" s="26" t="n">
        <f aca="false">E101*CatchUp</f>
        <v>289106.49743</v>
      </c>
      <c r="F102" s="26" t="n">
        <f aca="false">F101*CatchUp</f>
        <v>596289.653740925</v>
      </c>
      <c r="G102" s="26" t="n">
        <f aca="false">G101*CatchUp</f>
        <v>958270.064267751</v>
      </c>
      <c r="H102" s="26" t="n">
        <f aca="false">H101*CatchUp</f>
        <v>1308772.17327204</v>
      </c>
      <c r="I102" s="26" t="n">
        <f aca="false">I101*CatchUp</f>
        <v>1710929.76869952</v>
      </c>
      <c r="J102" s="26" t="n">
        <f aca="false">J101*CatchUp</f>
        <v>2011637.54020882</v>
      </c>
      <c r="K102" s="26" t="n">
        <f aca="false">K101*CatchUp</f>
        <v>2422439.43108162</v>
      </c>
      <c r="L102" s="26" t="n">
        <f aca="false">L101*CatchUp</f>
        <v>4635259.65522015</v>
      </c>
    </row>
    <row r="103" customFormat="false" ht="15" hidden="false" customHeight="false" outlineLevel="0" collapsed="false">
      <c r="A103" s="30" t="s">
        <v>154</v>
      </c>
      <c r="B103" s="26" t="n">
        <f aca="false">0</f>
        <v>0</v>
      </c>
      <c r="C103" s="26" t="n">
        <f aca="false">MIN(C100,MAX(0,C102-B105))</f>
        <v>0</v>
      </c>
      <c r="D103" s="26" t="n">
        <f aca="false">MIN(D100,MAX(0,D102-C105))</f>
        <v>0</v>
      </c>
      <c r="E103" s="26" t="n">
        <f aca="false">MIN(E100,MAX(0,E102-D105))</f>
        <v>0</v>
      </c>
      <c r="F103" s="26" t="n">
        <f aca="false">MIN(F100,MAX(0,F102-E105))</f>
        <v>0</v>
      </c>
      <c r="G103" s="26" t="n">
        <f aca="false">MIN(G100,MAX(0,G102-F105))</f>
        <v>0</v>
      </c>
      <c r="H103" s="26" t="n">
        <f aca="false">MIN(H100,MAX(0,H102-G105))</f>
        <v>0</v>
      </c>
      <c r="I103" s="26" t="n">
        <f aca="false">MIN(I100,MAX(0,I102-H105))</f>
        <v>0</v>
      </c>
      <c r="J103" s="26" t="n">
        <f aca="false">MIN(J100,MAX(0,J102-I105))</f>
        <v>0</v>
      </c>
      <c r="K103" s="26" t="n">
        <f aca="false">MIN(K100,MAX(0,K102-J105))</f>
        <v>0</v>
      </c>
      <c r="L103" s="26" t="n">
        <f aca="false">MIN(L100,MAX(0,L102-K105))</f>
        <v>839915.393119827</v>
      </c>
    </row>
    <row r="104" customFormat="false" ht="15" hidden="false" customHeight="false" outlineLevel="0" collapsed="false">
      <c r="A104" s="30" t="s">
        <v>155</v>
      </c>
      <c r="B104" s="26" t="n">
        <f aca="false">0</f>
        <v>0</v>
      </c>
      <c r="C104" s="26" t="n">
        <f aca="false">(C100-C103)*Promote</f>
        <v>0</v>
      </c>
      <c r="D104" s="26" t="n">
        <f aca="false">(D100-D103)*Promote</f>
        <v>0</v>
      </c>
      <c r="E104" s="26" t="n">
        <f aca="false">(E100-E103)*Promote</f>
        <v>0</v>
      </c>
      <c r="F104" s="26" t="n">
        <f aca="false">(F100-F103)*Promote</f>
        <v>0</v>
      </c>
      <c r="G104" s="26" t="n">
        <f aca="false">(G100-G103)*Promote</f>
        <v>0</v>
      </c>
      <c r="H104" s="26" t="n">
        <f aca="false">(H100-H103)*Promote</f>
        <v>0</v>
      </c>
      <c r="I104" s="26" t="n">
        <f aca="false">(I100-I103)*Promote</f>
        <v>0</v>
      </c>
      <c r="J104" s="26" t="n">
        <f aca="false">(J100-J103)*Promote</f>
        <v>0</v>
      </c>
      <c r="K104" s="26" t="n">
        <f aca="false">(K100-K103)*Promote</f>
        <v>0</v>
      </c>
      <c r="L104" s="26" t="n">
        <f aca="false">(L100-L103)*Promote</f>
        <v>0</v>
      </c>
    </row>
    <row r="105" customFormat="false" ht="15" hidden="false" customHeight="false" outlineLevel="0" collapsed="false">
      <c r="A105" s="30" t="s">
        <v>156</v>
      </c>
      <c r="B105" s="26" t="n">
        <f aca="false">0</f>
        <v>0</v>
      </c>
      <c r="C105" s="26" t="n">
        <f aca="false">B105+C103+C104</f>
        <v>0</v>
      </c>
      <c r="D105" s="26" t="n">
        <f aca="false">C105+D103+D104</f>
        <v>0</v>
      </c>
      <c r="E105" s="26" t="n">
        <f aca="false">D105+E103+E104</f>
        <v>0</v>
      </c>
      <c r="F105" s="26" t="n">
        <f aca="false">E105+F103+F104</f>
        <v>0</v>
      </c>
      <c r="G105" s="26" t="n">
        <f aca="false">F105+G103+G104</f>
        <v>0</v>
      </c>
      <c r="H105" s="26" t="n">
        <f aca="false">G105+H103+H104</f>
        <v>0</v>
      </c>
      <c r="I105" s="26" t="n">
        <f aca="false">H105+I103+I104</f>
        <v>0</v>
      </c>
      <c r="J105" s="26" t="n">
        <f aca="false">I105+J103+J104</f>
        <v>0</v>
      </c>
      <c r="K105" s="26" t="n">
        <f aca="false">J105+K103+K104</f>
        <v>0</v>
      </c>
      <c r="L105" s="26" t="n">
        <f aca="false">K105+L103+L104</f>
        <v>839915.393119827</v>
      </c>
    </row>
    <row r="106" customFormat="false" ht="15" hidden="false" customHeight="false" outlineLevel="0" collapsed="false">
      <c r="A106" s="31" t="s">
        <v>157</v>
      </c>
      <c r="B106" s="12" t="n">
        <f aca="false">B93</f>
        <v>-19056840</v>
      </c>
      <c r="C106" s="12" t="n">
        <f aca="false">IF(C93&lt;0,C93,C98+C99+(C100-C103)*(1-Promote))</f>
        <v>-879267.292</v>
      </c>
      <c r="D106" s="12" t="n">
        <f aca="false">IF(D93&lt;0,D93,D98+D99+(D100-D103)*(1-Promote))</f>
        <v>462896.832</v>
      </c>
      <c r="E106" s="12" t="n">
        <f aca="false">IF(E93&lt;0,E93,E98+E99+(E100-E103)*(1-Promote))</f>
        <v>693529.15772</v>
      </c>
      <c r="F106" s="12" t="n">
        <f aca="false">IF(F93&lt;0,F93,F98+F99+(F100-F103)*(1-Promote))</f>
        <v>1228732.6252437</v>
      </c>
      <c r="G106" s="12" t="n">
        <f aca="false">IF(G93&lt;0,G93,G98+G99+(G100-G103)*(1-Promote))</f>
        <v>1447921.6421073</v>
      </c>
      <c r="H106" s="12" t="n">
        <f aca="false">IF(H93&lt;0,H93,H98+H99+(H100-H103)*(1-Promote))</f>
        <v>1402008.43601717</v>
      </c>
      <c r="I106" s="12" t="n">
        <f aca="false">IF(I93&lt;0,I93,I98+I99+(I100-I103)*(1-Promote))</f>
        <v>1608630.38170992</v>
      </c>
      <c r="J106" s="12" t="n">
        <f aca="false">IF(J93&lt;0,J93,J98+J99+(J100-J103)*(1-Promote))</f>
        <v>1202831.08603718</v>
      </c>
      <c r="K106" s="12" t="n">
        <f aca="false">IF(K93&lt;0,K93,K98+K99+(K100-K103)*(1-Promote))</f>
        <v>1643207.56349119</v>
      </c>
      <c r="L106" s="12" t="n">
        <f aca="false">IF(L93&lt;0,L93,L98+L99+(L100-L103)*(1-Promote))</f>
        <v>27908120.8965541</v>
      </c>
    </row>
    <row r="107" customFormat="false" ht="15" hidden="false" customHeight="false" outlineLevel="0" collapsed="false">
      <c r="A107" s="30" t="s">
        <v>158</v>
      </c>
      <c r="B107" s="26" t="n">
        <f aca="false">-B93</f>
        <v>19056840</v>
      </c>
      <c r="C107" s="26" t="n">
        <f aca="false">C94-C99+C97</f>
        <v>19056840</v>
      </c>
      <c r="D107" s="26" t="n">
        <f aca="false">D94-D99+D97</f>
        <v>19056840</v>
      </c>
      <c r="E107" s="26" t="n">
        <f aca="false">E94-E99+E97</f>
        <v>19056840</v>
      </c>
      <c r="F107" s="26" t="n">
        <f aca="false">F94-F99+F97</f>
        <v>19056840</v>
      </c>
      <c r="G107" s="26" t="n">
        <f aca="false">G94-G99+G97</f>
        <v>19056840</v>
      </c>
      <c r="H107" s="26" t="n">
        <f aca="false">H94-H99+H97</f>
        <v>19056840</v>
      </c>
      <c r="I107" s="26" t="n">
        <f aca="false">I94-I99+I97</f>
        <v>19056840</v>
      </c>
      <c r="J107" s="26" t="n">
        <f aca="false">J94-J99+J97</f>
        <v>19056840</v>
      </c>
      <c r="K107" s="26" t="n">
        <f aca="false">K94-K99+K97</f>
        <v>19056840</v>
      </c>
      <c r="L107" s="26" t="n">
        <f aca="false">L94-L99+L97</f>
        <v>0</v>
      </c>
    </row>
    <row r="108" customFormat="false" ht="15" hidden="false" customHeight="false" outlineLevel="0" collapsed="false">
      <c r="A108" s="30" t="s">
        <v>159</v>
      </c>
      <c r="B108" s="26" t="n">
        <f aca="false">0</f>
        <v>0</v>
      </c>
      <c r="C108" s="26" t="n">
        <f aca="false">C95+C96-C98</f>
        <v>1524547.2</v>
      </c>
      <c r="D108" s="26" t="n">
        <f aca="false">D95+D96-D98</f>
        <v>2708161.344</v>
      </c>
      <c r="E108" s="26" t="n">
        <f aca="false">E95+E96-E98</f>
        <v>3755832.2938</v>
      </c>
      <c r="F108" s="26" t="n">
        <f aca="false">F95+F96-F98</f>
        <v>4352113.4520603</v>
      </c>
      <c r="G108" s="26" t="n">
        <f aca="false">G95+G96-G98</f>
        <v>4776908.08611782</v>
      </c>
      <c r="H108" s="26" t="n">
        <f aca="false">H95+H96-H98</f>
        <v>5281599.49699007</v>
      </c>
      <c r="I108" s="26" t="n">
        <f aca="false">I95+I96-I98</f>
        <v>5620044.27503936</v>
      </c>
      <c r="J108" s="26" t="n">
        <f aca="false">J95+J96-J98</f>
        <v>6391363.93100533</v>
      </c>
      <c r="K108" s="26" t="n">
        <f aca="false">K95+K96-K98</f>
        <v>6784012.68199457</v>
      </c>
      <c r="L108" s="26" t="n">
        <f aca="false">L95+L96-L98</f>
        <v>0</v>
      </c>
    </row>
    <row r="109" customFormat="false" ht="15" hidden="false" customHeight="false" outlineLevel="0" collapsed="false">
      <c r="A109" s="11" t="s">
        <v>149</v>
      </c>
      <c r="B109" s="12" t="n">
        <f aca="false">L101</f>
        <v>18541038.6208806</v>
      </c>
    </row>
    <row r="110" customFormat="false" ht="15" hidden="false" customHeight="false" outlineLevel="0" collapsed="false">
      <c r="A110" s="11" t="s">
        <v>170</v>
      </c>
      <c r="B110" s="12" t="n">
        <f aca="false">L105</f>
        <v>839915.393119827</v>
      </c>
    </row>
    <row r="112" customFormat="false" ht="15" hidden="false" customHeight="false" outlineLevel="0" collapsed="false">
      <c r="A112" s="4" t="s">
        <v>196</v>
      </c>
      <c r="B112" s="6"/>
      <c r="C112" s="6"/>
      <c r="D112" s="6"/>
      <c r="E112" s="6"/>
      <c r="F112" s="6"/>
      <c r="G112" s="6"/>
      <c r="H112" s="6"/>
      <c r="I112" s="6"/>
      <c r="J112" s="6"/>
      <c r="K112" s="6"/>
      <c r="L112" s="6"/>
    </row>
    <row r="114" customFormat="false" ht="30" hidden="false" customHeight="true" outlineLevel="0" collapsed="false">
      <c r="A114" s="16" t="s">
        <v>197</v>
      </c>
      <c r="B114" s="17" t="s">
        <v>198</v>
      </c>
      <c r="C114" s="17" t="s">
        <v>199</v>
      </c>
      <c r="D114" s="17"/>
      <c r="E114" s="17"/>
      <c r="F114" s="17"/>
      <c r="G114" s="17"/>
      <c r="H114" s="17"/>
      <c r="I114" s="17"/>
      <c r="J114" s="17"/>
      <c r="K114" s="17"/>
    </row>
    <row r="115" customFormat="false" ht="15" hidden="false" customHeight="false" outlineLevel="0" collapsed="false">
      <c r="A115" s="7" t="s">
        <v>200</v>
      </c>
      <c r="B115" s="12" t="n">
        <f aca="false">B44</f>
        <v>1748715.96253878</v>
      </c>
      <c r="C115" s="12" t="n">
        <f aca="false">B88</f>
        <v>0</v>
      </c>
    </row>
    <row r="116" customFormat="false" ht="15" hidden="false" customHeight="false" outlineLevel="0" collapsed="false">
      <c r="A116" s="7" t="s">
        <v>201</v>
      </c>
      <c r="B116" s="12" t="n">
        <f aca="false">B66</f>
        <v>3451150.80280009</v>
      </c>
      <c r="C116" s="12" t="n">
        <f aca="false">B110</f>
        <v>839915.393119827</v>
      </c>
    </row>
    <row r="118" customFormat="false" ht="15" hidden="false" customHeight="false" outlineLevel="0" collapsed="false">
      <c r="A118" s="18" t="s">
        <v>202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7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13" min="2" style="0" width="14"/>
  </cols>
  <sheetData>
    <row r="1" customFormat="false" ht="19.7" hidden="false" customHeight="false" outlineLevel="0" collapsed="false">
      <c r="A1" s="35" t="s">
        <v>203</v>
      </c>
    </row>
    <row r="2" customFormat="false" ht="15" hidden="false" customHeight="false" outlineLevel="0" collapsed="false">
      <c r="A2" s="36" t="s">
        <v>204</v>
      </c>
    </row>
    <row r="4" customFormat="false" ht="15" hidden="false" customHeight="false" outlineLevel="0" collapsed="false">
      <c r="A4" s="36" t="s">
        <v>205</v>
      </c>
    </row>
    <row r="5" customFormat="false" ht="15" hidden="false" customHeight="false" outlineLevel="0" collapsed="false">
      <c r="A5" s="37" t="s">
        <v>189</v>
      </c>
    </row>
    <row r="6" customFormat="false" ht="15" hidden="false" customHeight="false" outlineLevel="0" collapsed="false">
      <c r="A6" s="38" t="s">
        <v>184</v>
      </c>
      <c r="B6" s="39" t="s">
        <v>206</v>
      </c>
      <c r="C6" s="39" t="s">
        <v>207</v>
      </c>
      <c r="D6" s="39" t="s">
        <v>208</v>
      </c>
      <c r="E6" s="39" t="s">
        <v>209</v>
      </c>
      <c r="F6" s="39" t="s">
        <v>210</v>
      </c>
      <c r="G6" s="39" t="s">
        <v>211</v>
      </c>
      <c r="H6" s="39" t="s">
        <v>212</v>
      </c>
      <c r="I6" s="39" t="s">
        <v>213</v>
      </c>
      <c r="J6" s="39" t="s">
        <v>214</v>
      </c>
      <c r="K6" s="39" t="s">
        <v>215</v>
      </c>
      <c r="L6" s="39" t="s">
        <v>216</v>
      </c>
    </row>
    <row r="7" customFormat="false" ht="15" hidden="false" customHeight="false" outlineLevel="0" collapsed="false">
      <c r="A7" s="40" t="n">
        <v>0</v>
      </c>
      <c r="B7" s="21" t="n">
        <f aca="false">-(TotCost+Price*$A7*ArrPct-Price*$A7)</f>
        <v>-28195200</v>
      </c>
      <c r="C7" s="21" t="n">
        <f aca="false">'Cash flows'!C24-Price*$A7*DebtRate</f>
        <v>-477327.292</v>
      </c>
      <c r="D7" s="21" t="n">
        <f aca="false">'Cash flows'!D24-Price*$A7*DebtRate</f>
        <v>864836.832</v>
      </c>
      <c r="E7" s="21" t="n">
        <f aca="false">'Cash flows'!E24-Price*$A7*DebtRate</f>
        <v>1095469.15772</v>
      </c>
      <c r="F7" s="21" t="n">
        <f aca="false">'Cash flows'!F24-Price*$A7*DebtRate</f>
        <v>1630672.6252437</v>
      </c>
      <c r="G7" s="21" t="n">
        <f aca="false">'Cash flows'!G24-Price*$A7*DebtRate</f>
        <v>1849861.6421073</v>
      </c>
      <c r="H7" s="21" t="n">
        <f aca="false">'Cash flows'!H24-Price*$A7*DebtRate</f>
        <v>1803948.43601717</v>
      </c>
      <c r="I7" s="21" t="n">
        <f aca="false">'Cash flows'!I24-Price*$A7*DebtRate</f>
        <v>2010570.38170992</v>
      </c>
      <c r="J7" s="21" t="n">
        <f aca="false">'Cash flows'!J24-Price*$A7*DebtRate</f>
        <v>1604771.08603718</v>
      </c>
      <c r="K7" s="21" t="n">
        <f aca="false">'Cash flows'!K24-Price*$A7*DebtRate</f>
        <v>2045147.56349119</v>
      </c>
      <c r="L7" s="21" t="n">
        <f aca="false">'Cash flows'!L24-Price*$A7*DebtRate-Price*$A7</f>
        <v>38389976.289674</v>
      </c>
    </row>
    <row r="8" customFormat="false" ht="15" hidden="false" customHeight="false" outlineLevel="0" collapsed="false">
      <c r="A8" s="40" t="n">
        <v>0.2</v>
      </c>
      <c r="B8" s="21" t="n">
        <f aca="false">-(TotCost+Price*$A8*ArrPct-Price*$A8)</f>
        <v>-22973280</v>
      </c>
      <c r="C8" s="21" t="n">
        <f aca="false">'Cash flows'!C24-Price*$A8*DebtRate</f>
        <v>-707007.292</v>
      </c>
      <c r="D8" s="21" t="n">
        <f aca="false">'Cash flows'!D24-Price*$A8*DebtRate</f>
        <v>635156.832</v>
      </c>
      <c r="E8" s="21" t="n">
        <f aca="false">'Cash flows'!E24-Price*$A8*DebtRate</f>
        <v>865789.15772</v>
      </c>
      <c r="F8" s="21" t="n">
        <f aca="false">'Cash flows'!F24-Price*$A8*DebtRate</f>
        <v>1400992.6252437</v>
      </c>
      <c r="G8" s="21" t="n">
        <f aca="false">'Cash flows'!G24-Price*$A8*DebtRate</f>
        <v>1620181.6421073</v>
      </c>
      <c r="H8" s="21" t="n">
        <f aca="false">'Cash flows'!H24-Price*$A8*DebtRate</f>
        <v>1574268.43601717</v>
      </c>
      <c r="I8" s="21" t="n">
        <f aca="false">'Cash flows'!I24-Price*$A8*DebtRate</f>
        <v>1780890.38170992</v>
      </c>
      <c r="J8" s="21" t="n">
        <f aca="false">'Cash flows'!J24-Price*$A8*DebtRate</f>
        <v>1375091.08603718</v>
      </c>
      <c r="K8" s="21" t="n">
        <f aca="false">'Cash flows'!K24-Price*$A8*DebtRate</f>
        <v>1815467.56349119</v>
      </c>
      <c r="L8" s="21" t="n">
        <f aca="false">'Cash flows'!L24-Price*$A8*DebtRate-Price*$A8</f>
        <v>32880296.289674</v>
      </c>
    </row>
    <row r="9" customFormat="false" ht="15" hidden="false" customHeight="false" outlineLevel="0" collapsed="false">
      <c r="A9" s="40" t="n">
        <v>0.35</v>
      </c>
      <c r="B9" s="21" t="n">
        <f aca="false">-(TotCost+Price*$A9*ArrPct-Price*$A9)</f>
        <v>-19056840</v>
      </c>
      <c r="C9" s="21" t="n">
        <f aca="false">'Cash flows'!C24-Price*$A9*DebtRate</f>
        <v>-879267.292</v>
      </c>
      <c r="D9" s="21" t="n">
        <f aca="false">'Cash flows'!D24-Price*$A9*DebtRate</f>
        <v>462896.832</v>
      </c>
      <c r="E9" s="21" t="n">
        <f aca="false">'Cash flows'!E24-Price*$A9*DebtRate</f>
        <v>693529.15772</v>
      </c>
      <c r="F9" s="21" t="n">
        <f aca="false">'Cash flows'!F24-Price*$A9*DebtRate</f>
        <v>1228732.6252437</v>
      </c>
      <c r="G9" s="21" t="n">
        <f aca="false">'Cash flows'!G24-Price*$A9*DebtRate</f>
        <v>1447921.6421073</v>
      </c>
      <c r="H9" s="21" t="n">
        <f aca="false">'Cash flows'!H24-Price*$A9*DebtRate</f>
        <v>1402008.43601717</v>
      </c>
      <c r="I9" s="21" t="n">
        <f aca="false">'Cash flows'!I24-Price*$A9*DebtRate</f>
        <v>1608630.38170992</v>
      </c>
      <c r="J9" s="21" t="n">
        <f aca="false">'Cash flows'!J24-Price*$A9*DebtRate</f>
        <v>1202831.08603718</v>
      </c>
      <c r="K9" s="21" t="n">
        <f aca="false">'Cash flows'!K24-Price*$A9*DebtRate</f>
        <v>1643207.56349119</v>
      </c>
      <c r="L9" s="21" t="n">
        <f aca="false">'Cash flows'!L24-Price*$A9*DebtRate-Price*$A9</f>
        <v>28748036.289674</v>
      </c>
    </row>
    <row r="10" customFormat="false" ht="15" hidden="false" customHeight="false" outlineLevel="0" collapsed="false">
      <c r="A10" s="40" t="n">
        <v>0.45</v>
      </c>
      <c r="B10" s="21" t="n">
        <f aca="false">-(TotCost+Price*$A10*ArrPct-Price*$A10)</f>
        <v>-16445880</v>
      </c>
      <c r="C10" s="21" t="n">
        <f aca="false">'Cash flows'!C24-Price*$A10*DebtRate</f>
        <v>-994107.292</v>
      </c>
      <c r="D10" s="21" t="n">
        <f aca="false">'Cash flows'!D24-Price*$A10*DebtRate</f>
        <v>348056.832</v>
      </c>
      <c r="E10" s="21" t="n">
        <f aca="false">'Cash flows'!E24-Price*$A10*DebtRate</f>
        <v>578689.15772</v>
      </c>
      <c r="F10" s="21" t="n">
        <f aca="false">'Cash flows'!F24-Price*$A10*DebtRate</f>
        <v>1113892.6252437</v>
      </c>
      <c r="G10" s="21" t="n">
        <f aca="false">'Cash flows'!G24-Price*$A10*DebtRate</f>
        <v>1333081.6421073</v>
      </c>
      <c r="H10" s="21" t="n">
        <f aca="false">'Cash flows'!H24-Price*$A10*DebtRate</f>
        <v>1287168.43601717</v>
      </c>
      <c r="I10" s="21" t="n">
        <f aca="false">'Cash flows'!I24-Price*$A10*DebtRate</f>
        <v>1493790.38170992</v>
      </c>
      <c r="J10" s="21" t="n">
        <f aca="false">'Cash flows'!J24-Price*$A10*DebtRate</f>
        <v>1087991.08603718</v>
      </c>
      <c r="K10" s="21" t="n">
        <f aca="false">'Cash flows'!K24-Price*$A10*DebtRate</f>
        <v>1528367.56349119</v>
      </c>
      <c r="L10" s="21" t="n">
        <f aca="false">'Cash flows'!L24-Price*$A10*DebtRate-Price*$A10</f>
        <v>25993196.289674</v>
      </c>
    </row>
    <row r="11" customFormat="false" ht="15" hidden="false" customHeight="false" outlineLevel="0" collapsed="false">
      <c r="A11" s="40" t="n">
        <v>0.55</v>
      </c>
      <c r="B11" s="21" t="n">
        <f aca="false">-(TotCost+Price*$A11*ArrPct-Price*$A11)</f>
        <v>-13834920</v>
      </c>
      <c r="C11" s="21" t="n">
        <f aca="false">'Cash flows'!C24-Price*$A11*DebtRate</f>
        <v>-1108947.292</v>
      </c>
      <c r="D11" s="21" t="n">
        <f aca="false">'Cash flows'!D24-Price*$A11*DebtRate</f>
        <v>233216.832</v>
      </c>
      <c r="E11" s="21" t="n">
        <f aca="false">'Cash flows'!E24-Price*$A11*DebtRate</f>
        <v>463849.15772</v>
      </c>
      <c r="F11" s="21" t="n">
        <f aca="false">'Cash flows'!F24-Price*$A11*DebtRate</f>
        <v>999052.6252437</v>
      </c>
      <c r="G11" s="21" t="n">
        <f aca="false">'Cash flows'!G24-Price*$A11*DebtRate</f>
        <v>1218241.6421073</v>
      </c>
      <c r="H11" s="21" t="n">
        <f aca="false">'Cash flows'!H24-Price*$A11*DebtRate</f>
        <v>1172328.43601717</v>
      </c>
      <c r="I11" s="21" t="n">
        <f aca="false">'Cash flows'!I24-Price*$A11*DebtRate</f>
        <v>1378950.38170992</v>
      </c>
      <c r="J11" s="21" t="n">
        <f aca="false">'Cash flows'!J24-Price*$A11*DebtRate</f>
        <v>973151.086037178</v>
      </c>
      <c r="K11" s="21" t="n">
        <f aca="false">'Cash flows'!K24-Price*$A11*DebtRate</f>
        <v>1413527.56349119</v>
      </c>
      <c r="L11" s="21" t="n">
        <f aca="false">'Cash flows'!L24-Price*$A11*DebtRate-Price*$A11</f>
        <v>23238356.289674</v>
      </c>
    </row>
    <row r="12" customFormat="false" ht="15" hidden="false" customHeight="false" outlineLevel="0" collapsed="false">
      <c r="A12" s="40" t="n">
        <v>0.65</v>
      </c>
      <c r="B12" s="21" t="n">
        <f aca="false">-(TotCost+Price*$A12*ArrPct-Price*$A12)</f>
        <v>-11223960</v>
      </c>
      <c r="C12" s="21" t="n">
        <f aca="false">'Cash flows'!C24-Price*$A12*DebtRate</f>
        <v>-1223787.292</v>
      </c>
      <c r="D12" s="21" t="n">
        <f aca="false">'Cash flows'!D24-Price*$A12*DebtRate</f>
        <v>118376.832</v>
      </c>
      <c r="E12" s="21" t="n">
        <f aca="false">'Cash flows'!E24-Price*$A12*DebtRate</f>
        <v>349009.15772</v>
      </c>
      <c r="F12" s="21" t="n">
        <f aca="false">'Cash flows'!F24-Price*$A12*DebtRate</f>
        <v>884212.6252437</v>
      </c>
      <c r="G12" s="21" t="n">
        <f aca="false">'Cash flows'!G24-Price*$A12*DebtRate</f>
        <v>1103401.6421073</v>
      </c>
      <c r="H12" s="21" t="n">
        <f aca="false">'Cash flows'!H24-Price*$A12*DebtRate</f>
        <v>1057488.43601717</v>
      </c>
      <c r="I12" s="21" t="n">
        <f aca="false">'Cash flows'!I24-Price*$A12*DebtRate</f>
        <v>1264110.38170992</v>
      </c>
      <c r="J12" s="21" t="n">
        <f aca="false">'Cash flows'!J24-Price*$A12*DebtRate</f>
        <v>858311.086037178</v>
      </c>
      <c r="K12" s="21" t="n">
        <f aca="false">'Cash flows'!K24-Price*$A12*DebtRate</f>
        <v>1298687.56349119</v>
      </c>
      <c r="L12" s="21" t="n">
        <f aca="false">'Cash flows'!L24-Price*$A12*DebtRate-Price*$A12</f>
        <v>20483516.289674</v>
      </c>
    </row>
    <row r="13" customFormat="false" ht="15" hidden="false" customHeight="false" outlineLevel="0" collapsed="false">
      <c r="A13" s="40" t="n">
        <v>0.7</v>
      </c>
      <c r="B13" s="21" t="n">
        <f aca="false">-(TotCost+Price*$A13*ArrPct-Price*$A13)</f>
        <v>-9918480</v>
      </c>
      <c r="C13" s="21" t="n">
        <f aca="false">'Cash flows'!C24-Price*$A13*DebtRate</f>
        <v>-1281207.292</v>
      </c>
      <c r="D13" s="21" t="n">
        <f aca="false">'Cash flows'!D24-Price*$A13*DebtRate</f>
        <v>60956.8319999999</v>
      </c>
      <c r="E13" s="21" t="n">
        <f aca="false">'Cash flows'!E24-Price*$A13*DebtRate</f>
        <v>291589.15772</v>
      </c>
      <c r="F13" s="21" t="n">
        <f aca="false">'Cash flows'!F24-Price*$A13*DebtRate</f>
        <v>826792.6252437</v>
      </c>
      <c r="G13" s="21" t="n">
        <f aca="false">'Cash flows'!G24-Price*$A13*DebtRate</f>
        <v>1045981.6421073</v>
      </c>
      <c r="H13" s="21" t="n">
        <f aca="false">'Cash flows'!H24-Price*$A13*DebtRate</f>
        <v>1000068.43601717</v>
      </c>
      <c r="I13" s="21" t="n">
        <f aca="false">'Cash flows'!I24-Price*$A13*DebtRate</f>
        <v>1206690.38170992</v>
      </c>
      <c r="J13" s="21" t="n">
        <f aca="false">'Cash flows'!J24-Price*$A13*DebtRate</f>
        <v>800891.086037178</v>
      </c>
      <c r="K13" s="21" t="n">
        <f aca="false">'Cash flows'!K24-Price*$A13*DebtRate</f>
        <v>1241267.56349119</v>
      </c>
      <c r="L13" s="21" t="n">
        <f aca="false">'Cash flows'!L24-Price*$A13*DebtRate-Price*$A13</f>
        <v>19106096.289674</v>
      </c>
    </row>
    <row r="16" customFormat="false" ht="15" hidden="false" customHeight="false" outlineLevel="0" collapsed="false">
      <c r="A16" s="37" t="s">
        <v>217</v>
      </c>
    </row>
    <row r="17" customFormat="false" ht="46.25" hidden="false" customHeight="false" outlineLevel="0" collapsed="false">
      <c r="A17" s="38" t="s">
        <v>218</v>
      </c>
      <c r="B17" s="39" t="s">
        <v>187</v>
      </c>
      <c r="C17" s="39" t="s">
        <v>190</v>
      </c>
      <c r="D17" s="39" t="s">
        <v>219</v>
      </c>
      <c r="E17" s="39" t="s">
        <v>135</v>
      </c>
      <c r="F17" s="39" t="s">
        <v>220</v>
      </c>
      <c r="G17" s="39" t="s">
        <v>221</v>
      </c>
      <c r="H17" s="39" t="s">
        <v>222</v>
      </c>
      <c r="I17" s="39" t="s">
        <v>223</v>
      </c>
      <c r="J17" s="39" t="s">
        <v>224</v>
      </c>
      <c r="K17" s="39" t="s">
        <v>225</v>
      </c>
    </row>
    <row r="18" customFormat="false" ht="15" hidden="false" customHeight="false" outlineLevel="0" collapsed="false">
      <c r="A18" s="41" t="n">
        <f aca="false">A7</f>
        <v>0</v>
      </c>
      <c r="B18" s="21" t="n">
        <f aca="false">-B7</f>
        <v>28195200</v>
      </c>
      <c r="C18" s="27" t="n">
        <f aca="false">IRR(B7:L7)</f>
        <v>0.0682054638348641</v>
      </c>
      <c r="D18" s="42" t="n">
        <f aca="false">(B18+SUM(B7:L7))/B18</f>
        <v>1.80236092391614</v>
      </c>
      <c r="E18" s="21" t="n">
        <f aca="false">SUM(B7:L7)</f>
        <v>22622726.7220004</v>
      </c>
      <c r="F18" s="12" t="n">
        <f aca="false">L51</f>
        <v>0</v>
      </c>
      <c r="G18" s="23" t="n">
        <f aca="false">IF(E18&gt;0,F18/E18,0)</f>
        <v>0</v>
      </c>
      <c r="H18" s="23" t="n">
        <f aca="false">F18/B18</f>
        <v>0</v>
      </c>
      <c r="I18" s="33" t="str">
        <f aca="false">IF(A18=0,"none",'Income account'!E43/(Price*A18*DebtRate))</f>
        <v>none</v>
      </c>
      <c r="J18" s="21" t="n">
        <f aca="false">C7</f>
        <v>-477327.292</v>
      </c>
      <c r="K18" s="21" t="n">
        <f aca="false">L67</f>
        <v>0</v>
      </c>
    </row>
    <row r="19" customFormat="false" ht="15" hidden="false" customHeight="false" outlineLevel="0" collapsed="false">
      <c r="A19" s="41" t="n">
        <f aca="false">A8</f>
        <v>0.2</v>
      </c>
      <c r="B19" s="21" t="n">
        <f aca="false">-B8</f>
        <v>22973280</v>
      </c>
      <c r="C19" s="27" t="n">
        <f aca="false">IRR(B8:L8)</f>
        <v>0.0726533937916019</v>
      </c>
      <c r="D19" s="42" t="n">
        <f aca="false">(B19+SUM(B8:L8))/B19</f>
        <v>1.88223565472586</v>
      </c>
      <c r="E19" s="21" t="n">
        <f aca="false">SUM(B8:L8)</f>
        <v>20267846.7220004</v>
      </c>
      <c r="F19" s="12" t="n">
        <f aca="false">L83</f>
        <v>0</v>
      </c>
      <c r="G19" s="23" t="n">
        <f aca="false">IF(E19&gt;0,F19/E19,0)</f>
        <v>0</v>
      </c>
      <c r="H19" s="23" t="n">
        <f aca="false">F19/B19</f>
        <v>0</v>
      </c>
      <c r="I19" s="33" t="n">
        <f aca="false">IF(A19=0,"none",'Income account'!E43/(Price*A19*DebtRate))</f>
        <v>8.24162720971003</v>
      </c>
      <c r="J19" s="21" t="n">
        <f aca="false">C8</f>
        <v>-707007.292</v>
      </c>
      <c r="K19" s="21" t="n">
        <f aca="false">L99</f>
        <v>0</v>
      </c>
    </row>
    <row r="20" customFormat="false" ht="15" hidden="false" customHeight="false" outlineLevel="0" collapsed="false">
      <c r="A20" s="41" t="n">
        <f aca="false">A9</f>
        <v>0.35</v>
      </c>
      <c r="B20" s="21" t="n">
        <f aca="false">-B9</f>
        <v>19056840</v>
      </c>
      <c r="C20" s="27" t="n">
        <f aca="false">IRR(B9:L9)</f>
        <v>0.0772991345319895</v>
      </c>
      <c r="D20" s="42" t="n">
        <f aca="false">(B20+SUM(B9:L9))/B20</f>
        <v>1.97086855543733</v>
      </c>
      <c r="E20" s="21" t="n">
        <f aca="false">SUM(B9:L9)</f>
        <v>18501686.7220004</v>
      </c>
      <c r="F20" s="12" t="n">
        <f aca="false">L115</f>
        <v>0</v>
      </c>
      <c r="G20" s="23" t="n">
        <f aca="false">IF(E20&gt;0,F20/E20,0)</f>
        <v>0</v>
      </c>
      <c r="H20" s="23" t="n">
        <f aca="false">F20/B20</f>
        <v>0</v>
      </c>
      <c r="I20" s="33" t="n">
        <f aca="false">IF(A20=0,"none",'Income account'!E43/(Price*A20*DebtRate))</f>
        <v>4.70950126269145</v>
      </c>
      <c r="J20" s="21" t="n">
        <f aca="false">C9</f>
        <v>-879267.292</v>
      </c>
      <c r="K20" s="21" t="n">
        <f aca="false">L131</f>
        <v>839915.393119827</v>
      </c>
    </row>
    <row r="21" customFormat="false" ht="15" hidden="false" customHeight="false" outlineLevel="0" collapsed="false">
      <c r="A21" s="41" t="n">
        <f aca="false">A10</f>
        <v>0.45</v>
      </c>
      <c r="B21" s="21" t="n">
        <f aca="false">-B10</f>
        <v>16445880</v>
      </c>
      <c r="C21" s="27" t="n">
        <f aca="false">IRR(B10:L10)</f>
        <v>0.0813780992388573</v>
      </c>
      <c r="D21" s="42" t="n">
        <f aca="false">(B21+SUM(B10:L10))/B21</f>
        <v>2.05340953004646</v>
      </c>
      <c r="E21" s="21" t="n">
        <f aca="false">SUM(B10:L10)</f>
        <v>17324246.7220004</v>
      </c>
      <c r="F21" s="12" t="n">
        <f aca="false">L147</f>
        <v>415485.985244509</v>
      </c>
      <c r="G21" s="23" t="n">
        <f aca="false">IF(E21&gt;0,F21/E21,0)</f>
        <v>0.023982917809458</v>
      </c>
      <c r="H21" s="23" t="n">
        <f aca="false">F21/B21</f>
        <v>0.025263834178804</v>
      </c>
      <c r="I21" s="33" t="n">
        <f aca="false">IF(A21=0,"none",'Income account'!E43/(Price*A21*DebtRate))</f>
        <v>3.66294542653779</v>
      </c>
      <c r="J21" s="21" t="n">
        <f aca="false">C10</f>
        <v>-994107.292</v>
      </c>
      <c r="K21" s="21" t="n">
        <f aca="false">L163</f>
        <v>2402711.06179076</v>
      </c>
    </row>
    <row r="22" customFormat="false" ht="15" hidden="false" customHeight="false" outlineLevel="0" collapsed="false">
      <c r="A22" s="41" t="n">
        <f aca="false">A11</f>
        <v>0.55</v>
      </c>
      <c r="B22" s="21" t="n">
        <f aca="false">-B11</f>
        <v>13834920</v>
      </c>
      <c r="C22" s="27" t="n">
        <f aca="false">IRR(B11:L11)</f>
        <v>0.0866467604777335</v>
      </c>
      <c r="D22" s="42" t="n">
        <f aca="false">(B22+SUM(B11:L11))/B22</f>
        <v>2.16710517458723</v>
      </c>
      <c r="E22" s="21" t="n">
        <f aca="false">SUM(B11:L11)</f>
        <v>16146806.7220004</v>
      </c>
      <c r="F22" s="12" t="n">
        <f aca="false">L179</f>
        <v>1748715.96253878</v>
      </c>
      <c r="G22" s="23" t="n">
        <f aca="false">IF(E22&gt;0,F22/E22,0)</f>
        <v>0.108301040115636</v>
      </c>
      <c r="H22" s="23" t="n">
        <f aca="false">F22/B22</f>
        <v>0.126398704332138</v>
      </c>
      <c r="I22" s="33" t="n">
        <f aca="false">IF(A22=0,"none",'Income account'!E43/(Price*A22*DebtRate))</f>
        <v>2.99695534898547</v>
      </c>
      <c r="J22" s="21" t="n">
        <f aca="false">C11</f>
        <v>-1108947.292</v>
      </c>
      <c r="K22" s="21" t="n">
        <f aca="false">L195</f>
        <v>3451150.80280009</v>
      </c>
    </row>
    <row r="23" customFormat="false" ht="15" hidden="false" customHeight="false" outlineLevel="0" collapsed="false">
      <c r="A23" s="41" t="n">
        <f aca="false">A12</f>
        <v>0.65</v>
      </c>
      <c r="B23" s="21" t="n">
        <f aca="false">-B12</f>
        <v>11223960</v>
      </c>
      <c r="C23" s="27" t="n">
        <f aca="false">IRR(B12:L12)</f>
        <v>0.0937249390732234</v>
      </c>
      <c r="D23" s="42" t="n">
        <f aca="false">(B23+SUM(B12:L12))/B23</f>
        <v>2.3336974402974</v>
      </c>
      <c r="E23" s="21" t="n">
        <f aca="false">SUM(B12:L12)</f>
        <v>14969366.7220004</v>
      </c>
      <c r="F23" s="12" t="n">
        <f aca="false">L211</f>
        <v>2993873.34440008</v>
      </c>
      <c r="G23" s="23" t="n">
        <f aca="false">IF(E23&gt;0,F23/E23,0)</f>
        <v>0.2</v>
      </c>
      <c r="H23" s="23" t="n">
        <f aca="false">F23/B23</f>
        <v>0.26673948805948</v>
      </c>
      <c r="I23" s="33" t="n">
        <f aca="false">IF(A23=0,"none",'Income account'!E43/(Price*A23*DebtRate))</f>
        <v>2.53588529529539</v>
      </c>
      <c r="J23" s="21" t="n">
        <f aca="false">C12</f>
        <v>-1223787.292</v>
      </c>
      <c r="K23" s="21" t="n">
        <f aca="false">L227</f>
        <v>3238630.80280008</v>
      </c>
    </row>
    <row r="24" customFormat="false" ht="15" hidden="false" customHeight="false" outlineLevel="0" collapsed="false">
      <c r="A24" s="41" t="n">
        <f aca="false">A13</f>
        <v>0.7</v>
      </c>
      <c r="B24" s="21" t="n">
        <f aca="false">-B13</f>
        <v>9918480</v>
      </c>
      <c r="C24" s="27" t="n">
        <f aca="false">IRR(B13:L13)</f>
        <v>0.0982677455032438</v>
      </c>
      <c r="D24" s="42" t="n">
        <f aca="false">(B24+SUM(B13:L13))/B24</f>
        <v>2.4498841276083</v>
      </c>
      <c r="E24" s="21" t="n">
        <f aca="false">SUM(B13:L13)</f>
        <v>14380646.7220004</v>
      </c>
      <c r="F24" s="12" t="n">
        <f aca="false">L243</f>
        <v>2876129.34440008</v>
      </c>
      <c r="G24" s="23" t="n">
        <f aca="false">IF(E24&gt;0,F24/E24,0)</f>
        <v>0.2</v>
      </c>
      <c r="H24" s="23" t="n">
        <f aca="false">F24/B24</f>
        <v>0.289976825521661</v>
      </c>
      <c r="I24" s="33" t="n">
        <f aca="false">IF(A24=0,"none",'Income account'!E43/(Price*A24*DebtRate))</f>
        <v>2.35475063134572</v>
      </c>
      <c r="J24" s="21" t="n">
        <f aca="false">C13</f>
        <v>-1281207.292</v>
      </c>
      <c r="K24" s="21" t="n">
        <f aca="false">L259</f>
        <v>3132370.80280008</v>
      </c>
    </row>
    <row r="27" customFormat="false" ht="15" hidden="false" customHeight="false" outlineLevel="0" collapsed="false">
      <c r="A27" s="7" t="s">
        <v>226</v>
      </c>
      <c r="B27" s="12" t="n">
        <f aca="false">L275</f>
        <v>349743.192507757</v>
      </c>
    </row>
    <row r="28" customFormat="false" ht="15" hidden="false" customHeight="false" outlineLevel="0" collapsed="false">
      <c r="A28" s="7" t="s">
        <v>227</v>
      </c>
      <c r="B28" s="12" t="n">
        <f aca="false">L272-L275</f>
        <v>1398972.77003103</v>
      </c>
    </row>
    <row r="29" customFormat="false" ht="15" hidden="false" customHeight="false" outlineLevel="0" collapsed="false">
      <c r="A29" s="7" t="s">
        <v>228</v>
      </c>
      <c r="B29" s="12" t="n">
        <f aca="false">AMTotal+B27</f>
        <v>2464383.19250776</v>
      </c>
    </row>
    <row r="30" customFormat="false" ht="15" hidden="false" customHeight="false" outlineLevel="0" collapsed="false">
      <c r="A30" s="7" t="s">
        <v>229</v>
      </c>
      <c r="B30" s="27" t="n">
        <f aca="false">B29/(SUM(B11:L11)+AMTotal)</f>
        <v>0.134950052425956</v>
      </c>
    </row>
    <row r="31" customFormat="false" ht="15" hidden="false" customHeight="false" outlineLevel="0" collapsed="false">
      <c r="A31" s="7" t="s">
        <v>230</v>
      </c>
      <c r="B31" s="12" t="n">
        <f aca="false">F23-F22</f>
        <v>1245157.3818613</v>
      </c>
    </row>
    <row r="32" customFormat="false" ht="15" hidden="false" customHeight="false" outlineLevel="0" collapsed="false">
      <c r="A32" s="7" t="s">
        <v>231</v>
      </c>
      <c r="B32" s="12" t="n">
        <f aca="false">F24-F23</f>
        <v>-117744</v>
      </c>
    </row>
    <row r="33" customFormat="false" ht="15" hidden="false" customHeight="false" outlineLevel="0" collapsed="false">
      <c r="A33" s="7" t="s">
        <v>232</v>
      </c>
      <c r="B33" s="12" t="n">
        <f aca="false">E18-E24</f>
        <v>8242080</v>
      </c>
    </row>
    <row r="34" customFormat="false" ht="15" hidden="false" customHeight="false" outlineLevel="0" collapsed="false">
      <c r="A34" s="36" t="s">
        <v>233</v>
      </c>
    </row>
    <row r="40" customFormat="false" ht="15" hidden="false" customHeight="false" outlineLevel="0" collapsed="false">
      <c r="A40" s="11" t="s">
        <v>234</v>
      </c>
    </row>
    <row r="41" customFormat="false" ht="15" hidden="false" customHeight="false" outlineLevel="0" collapsed="false">
      <c r="A41" s="7" t="s">
        <v>144</v>
      </c>
      <c r="B41" s="21" t="n">
        <f aca="false">B7</f>
        <v>-28195200</v>
      </c>
      <c r="C41" s="21" t="n">
        <f aca="false">C7</f>
        <v>-477327.292</v>
      </c>
      <c r="D41" s="21" t="n">
        <f aca="false">D7</f>
        <v>864836.832</v>
      </c>
      <c r="E41" s="21" t="n">
        <f aca="false">E7</f>
        <v>1095469.15772</v>
      </c>
      <c r="F41" s="21" t="n">
        <f aca="false">F7</f>
        <v>1630672.6252437</v>
      </c>
      <c r="G41" s="21" t="n">
        <f aca="false">G7</f>
        <v>1849861.6421073</v>
      </c>
      <c r="H41" s="21" t="n">
        <f aca="false">H7</f>
        <v>1803948.43601717</v>
      </c>
      <c r="I41" s="21" t="n">
        <f aca="false">I7</f>
        <v>2010570.38170992</v>
      </c>
      <c r="J41" s="21" t="n">
        <f aca="false">J7</f>
        <v>1604771.08603718</v>
      </c>
      <c r="K41" s="21" t="n">
        <f aca="false">K7</f>
        <v>2045147.56349119</v>
      </c>
      <c r="L41" s="21" t="n">
        <f aca="false">L7</f>
        <v>38389976.289674</v>
      </c>
    </row>
    <row r="42" customFormat="false" ht="15" hidden="false" customHeight="false" outlineLevel="0" collapsed="false">
      <c r="A42" s="7" t="s">
        <v>145</v>
      </c>
      <c r="B42" s="21" t="n">
        <f aca="false">0</f>
        <v>0</v>
      </c>
      <c r="C42" s="21" t="n">
        <f aca="false">B52</f>
        <v>28195200</v>
      </c>
      <c r="D42" s="21" t="n">
        <f aca="false">C52</f>
        <v>28672527.292</v>
      </c>
      <c r="E42" s="21" t="n">
        <f aca="false">D52</f>
        <v>28672527.292</v>
      </c>
      <c r="F42" s="21" t="n">
        <f aca="false">E52</f>
        <v>28672527.292</v>
      </c>
      <c r="G42" s="21" t="n">
        <f aca="false">F52</f>
        <v>28672527.292</v>
      </c>
      <c r="H42" s="21" t="n">
        <f aca="false">G52</f>
        <v>28672527.292</v>
      </c>
      <c r="I42" s="21" t="n">
        <f aca="false">H52</f>
        <v>28672527.292</v>
      </c>
      <c r="J42" s="21" t="n">
        <f aca="false">I52</f>
        <v>28672527.292</v>
      </c>
      <c r="K42" s="21" t="n">
        <f aca="false">J52</f>
        <v>28672527.292</v>
      </c>
      <c r="L42" s="21" t="n">
        <f aca="false">K52</f>
        <v>28672527.292</v>
      </c>
    </row>
    <row r="43" customFormat="false" ht="15" hidden="false" customHeight="false" outlineLevel="0" collapsed="false">
      <c r="A43" s="7" t="s">
        <v>146</v>
      </c>
      <c r="B43" s="21" t="n">
        <f aca="false">0</f>
        <v>0</v>
      </c>
      <c r="C43" s="21" t="n">
        <f aca="false">B53</f>
        <v>0</v>
      </c>
      <c r="D43" s="21" t="n">
        <f aca="false">C53</f>
        <v>2255616</v>
      </c>
      <c r="E43" s="21" t="n">
        <f aca="false">D53</f>
        <v>3865030.63136</v>
      </c>
      <c r="F43" s="21" t="n">
        <f aca="false">E53</f>
        <v>5372566.1075088</v>
      </c>
      <c r="G43" s="21" t="n">
        <f aca="false">F53</f>
        <v>6465500.95422581</v>
      </c>
      <c r="H43" s="21" t="n">
        <f aca="false">G53</f>
        <v>7426681.57181657</v>
      </c>
      <c r="I43" s="21" t="n">
        <f aca="false">H53</f>
        <v>8510669.84490472</v>
      </c>
      <c r="J43" s="21" t="n">
        <f aca="false">I53</f>
        <v>9474755.23414718</v>
      </c>
      <c r="K43" s="21" t="n">
        <f aca="false">J53</f>
        <v>10921766.7502018</v>
      </c>
      <c r="L43" s="21" t="n">
        <f aca="false">K53</f>
        <v>12044162.7100867</v>
      </c>
    </row>
    <row r="44" customFormat="false" ht="15" hidden="false" customHeight="false" outlineLevel="0" collapsed="false">
      <c r="A44" s="7" t="s">
        <v>147</v>
      </c>
      <c r="B44" s="21" t="n">
        <f aca="false">0</f>
        <v>0</v>
      </c>
      <c r="C44" s="21" t="n">
        <f aca="false">(C42+C43)*Pref</f>
        <v>2255616</v>
      </c>
      <c r="D44" s="21" t="n">
        <f aca="false">(D42+D43)*Pref</f>
        <v>2474251.46336</v>
      </c>
      <c r="E44" s="21" t="n">
        <f aca="false">(E42+E43)*Pref</f>
        <v>2603004.6338688</v>
      </c>
      <c r="F44" s="21" t="n">
        <f aca="false">(F42+F43)*Pref</f>
        <v>2723607.4719607</v>
      </c>
      <c r="G44" s="21" t="n">
        <f aca="false">(G42+G43)*Pref</f>
        <v>2811042.25969806</v>
      </c>
      <c r="H44" s="21" t="n">
        <f aca="false">(H42+H43)*Pref</f>
        <v>2887936.70910533</v>
      </c>
      <c r="I44" s="21" t="n">
        <f aca="false">(I42+I43)*Pref</f>
        <v>2974655.77095238</v>
      </c>
      <c r="J44" s="21" t="n">
        <f aca="false">(J42+J43)*Pref</f>
        <v>3051782.60209177</v>
      </c>
      <c r="K44" s="21" t="n">
        <f aca="false">(K42+K43)*Pref</f>
        <v>3167543.52337614</v>
      </c>
      <c r="L44" s="21" t="n">
        <f aca="false">(L42+L43)*Pref</f>
        <v>3257335.20016694</v>
      </c>
    </row>
    <row r="45" customFormat="false" ht="15" hidden="false" customHeight="false" outlineLevel="0" collapsed="false">
      <c r="A45" s="7" t="s">
        <v>148</v>
      </c>
      <c r="B45" s="21" t="n">
        <f aca="false">0</f>
        <v>0</v>
      </c>
      <c r="C45" s="21" t="n">
        <f aca="false">IF(C41&lt;0,-C41*1,0)</f>
        <v>477327.292</v>
      </c>
      <c r="D45" s="21" t="n">
        <f aca="false">IF(D41&lt;0,-D41*1,0)</f>
        <v>0</v>
      </c>
      <c r="E45" s="21" t="n">
        <f aca="false">IF(E41&lt;0,-E41*1,0)</f>
        <v>0</v>
      </c>
      <c r="F45" s="21" t="n">
        <f aca="false">IF(F41&lt;0,-F41*1,0)</f>
        <v>0</v>
      </c>
      <c r="G45" s="21" t="n">
        <f aca="false">IF(G41&lt;0,-G41*1,0)</f>
        <v>0</v>
      </c>
      <c r="H45" s="21" t="n">
        <f aca="false">IF(H41&lt;0,-H41*1,0)</f>
        <v>0</v>
      </c>
      <c r="I45" s="21" t="n">
        <f aca="false">IF(I41&lt;0,-I41*1,0)</f>
        <v>0</v>
      </c>
      <c r="J45" s="21" t="n">
        <f aca="false">IF(J41&lt;0,-J41*1,0)</f>
        <v>0</v>
      </c>
      <c r="K45" s="21" t="n">
        <f aca="false">IF(K41&lt;0,-K41*1,0)</f>
        <v>0</v>
      </c>
      <c r="L45" s="21" t="n">
        <f aca="false">IF(L41&lt;0,-L41*1,0)</f>
        <v>0</v>
      </c>
    </row>
    <row r="46" customFormat="false" ht="15" hidden="false" customHeight="false" outlineLevel="0" collapsed="false">
      <c r="A46" s="7" t="s">
        <v>149</v>
      </c>
      <c r="B46" s="21" t="n">
        <f aca="false">0</f>
        <v>0</v>
      </c>
      <c r="C46" s="21" t="n">
        <f aca="false">IF(C41&gt;0,MIN(C41,C43+C44),0)</f>
        <v>0</v>
      </c>
      <c r="D46" s="21" t="n">
        <f aca="false">IF(D41&gt;0,MIN(D41,D43+D44),0)</f>
        <v>864836.832</v>
      </c>
      <c r="E46" s="21" t="n">
        <f aca="false">IF(E41&gt;0,MIN(E41,E43+E44),0)</f>
        <v>1095469.15772</v>
      </c>
      <c r="F46" s="21" t="n">
        <f aca="false">IF(F41&gt;0,MIN(F41,F43+F44),0)</f>
        <v>1630672.6252437</v>
      </c>
      <c r="G46" s="21" t="n">
        <f aca="false">IF(G41&gt;0,MIN(G41,G43+G44),0)</f>
        <v>1849861.6421073</v>
      </c>
      <c r="H46" s="21" t="n">
        <f aca="false">IF(H41&gt;0,MIN(H41,H43+H44),0)</f>
        <v>1803948.43601717</v>
      </c>
      <c r="I46" s="21" t="n">
        <f aca="false">IF(I41&gt;0,MIN(I41,I43+I44),0)</f>
        <v>2010570.38170992</v>
      </c>
      <c r="J46" s="21" t="n">
        <f aca="false">IF(J41&gt;0,MIN(J41,J43+J44),0)</f>
        <v>1604771.08603718</v>
      </c>
      <c r="K46" s="21" t="n">
        <f aca="false">IF(K41&gt;0,MIN(K41,K43+K44),0)</f>
        <v>2045147.56349119</v>
      </c>
      <c r="L46" s="21" t="n">
        <f aca="false">IF(L41&gt;0,MIN(L41,L43+L44),0)</f>
        <v>15301497.9102537</v>
      </c>
    </row>
    <row r="47" customFormat="false" ht="15" hidden="false" customHeight="false" outlineLevel="0" collapsed="false">
      <c r="A47" s="7" t="s">
        <v>150</v>
      </c>
      <c r="B47" s="21" t="n">
        <f aca="false">0</f>
        <v>0</v>
      </c>
      <c r="C47" s="21" t="n">
        <f aca="false">IF(C41&gt;0,MIN(C41-C46,C42),0)</f>
        <v>0</v>
      </c>
      <c r="D47" s="21" t="n">
        <f aca="false">IF(D41&gt;0,MIN(D41-D46,D42),0)</f>
        <v>0</v>
      </c>
      <c r="E47" s="21" t="n">
        <f aca="false">IF(E41&gt;0,MIN(E41-E46,E42),0)</f>
        <v>0</v>
      </c>
      <c r="F47" s="21" t="n">
        <f aca="false">IF(F41&gt;0,MIN(F41-F46,F42),0)</f>
        <v>0</v>
      </c>
      <c r="G47" s="21" t="n">
        <f aca="false">IF(G41&gt;0,MIN(G41-G46,G42),0)</f>
        <v>0</v>
      </c>
      <c r="H47" s="21" t="n">
        <f aca="false">IF(H41&gt;0,MIN(H41-H46,H42),0)</f>
        <v>0</v>
      </c>
      <c r="I47" s="21" t="n">
        <f aca="false">IF(I41&gt;0,MIN(I41-I46,I42),0)</f>
        <v>0</v>
      </c>
      <c r="J47" s="21" t="n">
        <f aca="false">IF(J41&gt;0,MIN(J41-J46,J42),0)</f>
        <v>0</v>
      </c>
      <c r="K47" s="21" t="n">
        <f aca="false">IF(K41&gt;0,MIN(K41-K46,K42),0)</f>
        <v>0</v>
      </c>
      <c r="L47" s="21" t="n">
        <f aca="false">IF(L41&gt;0,MIN(L41-L46,L42),0)</f>
        <v>23088478.3794203</v>
      </c>
    </row>
    <row r="48" customFormat="false" ht="15" hidden="false" customHeight="false" outlineLevel="0" collapsed="false">
      <c r="A48" s="7" t="s">
        <v>151</v>
      </c>
      <c r="B48" s="21" t="n">
        <f aca="false">0</f>
        <v>0</v>
      </c>
      <c r="C48" s="21" t="n">
        <f aca="false">IF(C41&gt;0,C41-C46-C47,0)</f>
        <v>0</v>
      </c>
      <c r="D48" s="21" t="n">
        <f aca="false">IF(D41&gt;0,D41-D46-D47,0)</f>
        <v>0</v>
      </c>
      <c r="E48" s="21" t="n">
        <f aca="false">IF(E41&gt;0,E41-E46-E47,0)</f>
        <v>0</v>
      </c>
      <c r="F48" s="21" t="n">
        <f aca="false">IF(F41&gt;0,F41-F46-F47,0)</f>
        <v>0</v>
      </c>
      <c r="G48" s="21" t="n">
        <f aca="false">IF(G41&gt;0,G41-G46-G47,0)</f>
        <v>0</v>
      </c>
      <c r="H48" s="21" t="n">
        <f aca="false">IF(H41&gt;0,H41-H46-H47,0)</f>
        <v>0</v>
      </c>
      <c r="I48" s="21" t="n">
        <f aca="false">IF(I41&gt;0,I41-I46-I47,0)</f>
        <v>0</v>
      </c>
      <c r="J48" s="21" t="n">
        <f aca="false">IF(J41&gt;0,J41-J46-J47,0)</f>
        <v>0</v>
      </c>
      <c r="K48" s="21" t="n">
        <f aca="false">IF(K41&gt;0,K41-K46-K47,0)</f>
        <v>0</v>
      </c>
      <c r="L48" s="21" t="n">
        <f aca="false">IF(L41&gt;0,L41-L46-L47,0)</f>
        <v>0</v>
      </c>
    </row>
    <row r="49" customFormat="false" ht="15" hidden="false" customHeight="false" outlineLevel="0" collapsed="false">
      <c r="A49" s="7" t="s">
        <v>152</v>
      </c>
      <c r="B49" s="21" t="n">
        <f aca="false">0</f>
        <v>0</v>
      </c>
      <c r="C49" s="21" t="n">
        <f aca="false">B49+C46</f>
        <v>0</v>
      </c>
      <c r="D49" s="21" t="n">
        <f aca="false">C49+D46</f>
        <v>864836.832</v>
      </c>
      <c r="E49" s="21" t="n">
        <f aca="false">D49+E46</f>
        <v>1960305.98972</v>
      </c>
      <c r="F49" s="21" t="n">
        <f aca="false">E49+F46</f>
        <v>3590978.6149637</v>
      </c>
      <c r="G49" s="21" t="n">
        <f aca="false">F49+G46</f>
        <v>5440840.257071</v>
      </c>
      <c r="H49" s="21" t="n">
        <f aca="false">G49+H46</f>
        <v>7244788.69308818</v>
      </c>
      <c r="I49" s="21" t="n">
        <f aca="false">H49+I46</f>
        <v>9255359.0747981</v>
      </c>
      <c r="J49" s="21" t="n">
        <f aca="false">I49+J46</f>
        <v>10860130.1608353</v>
      </c>
      <c r="K49" s="21" t="n">
        <f aca="false">J49+K46</f>
        <v>12905277.7243265</v>
      </c>
      <c r="L49" s="21" t="n">
        <f aca="false">K49+L46</f>
        <v>28206775.6345801</v>
      </c>
    </row>
    <row r="50" customFormat="false" ht="15" hidden="false" customHeight="false" outlineLevel="0" collapsed="false">
      <c r="A50" s="7" t="s">
        <v>154</v>
      </c>
      <c r="B50" s="21" t="n">
        <f aca="false">0</f>
        <v>0</v>
      </c>
      <c r="C50" s="21" t="n">
        <f aca="false">1*MIN(C48,MAX(0,C49*CatchUp-B51))</f>
        <v>0</v>
      </c>
      <c r="D50" s="21" t="n">
        <f aca="false">1*MIN(D48,MAX(0,D49*CatchUp-C51))</f>
        <v>0</v>
      </c>
      <c r="E50" s="21" t="n">
        <f aca="false">1*MIN(E48,MAX(0,E49*CatchUp-D51))</f>
        <v>0</v>
      </c>
      <c r="F50" s="21" t="n">
        <f aca="false">1*MIN(F48,MAX(0,F49*CatchUp-E51))</f>
        <v>0</v>
      </c>
      <c r="G50" s="21" t="n">
        <f aca="false">1*MIN(G48,MAX(0,G49*CatchUp-F51))</f>
        <v>0</v>
      </c>
      <c r="H50" s="21" t="n">
        <f aca="false">1*MIN(H48,MAX(0,H49*CatchUp-G51))</f>
        <v>0</v>
      </c>
      <c r="I50" s="21" t="n">
        <f aca="false">1*MIN(I48,MAX(0,I49*CatchUp-H51))</f>
        <v>0</v>
      </c>
      <c r="J50" s="21" t="n">
        <f aca="false">1*MIN(J48,MAX(0,J49*CatchUp-I51))</f>
        <v>0</v>
      </c>
      <c r="K50" s="21" t="n">
        <f aca="false">1*MIN(K48,MAX(0,K49*CatchUp-J51))</f>
        <v>0</v>
      </c>
      <c r="L50" s="21" t="n">
        <f aca="false">1*MIN(L48,MAX(0,L49*CatchUp-K51))</f>
        <v>0</v>
      </c>
    </row>
    <row r="51" customFormat="false" ht="15" hidden="false" customHeight="false" outlineLevel="0" collapsed="false">
      <c r="A51" s="7" t="s">
        <v>156</v>
      </c>
      <c r="B51" s="21" t="n">
        <f aca="false">0</f>
        <v>0</v>
      </c>
      <c r="C51" s="21" t="n">
        <f aca="false">B51+C50+(C48-C50)*Promote</f>
        <v>0</v>
      </c>
      <c r="D51" s="21" t="n">
        <f aca="false">C51+D50+(D48-D50)*Promote</f>
        <v>0</v>
      </c>
      <c r="E51" s="21" t="n">
        <f aca="false">D51+E50+(E48-E50)*Promote</f>
        <v>0</v>
      </c>
      <c r="F51" s="21" t="n">
        <f aca="false">E51+F50+(F48-F50)*Promote</f>
        <v>0</v>
      </c>
      <c r="G51" s="21" t="n">
        <f aca="false">F51+G50+(G48-G50)*Promote</f>
        <v>0</v>
      </c>
      <c r="H51" s="21" t="n">
        <f aca="false">G51+H50+(H48-H50)*Promote</f>
        <v>0</v>
      </c>
      <c r="I51" s="21" t="n">
        <f aca="false">H51+I50+(I48-I50)*Promote</f>
        <v>0</v>
      </c>
      <c r="J51" s="21" t="n">
        <f aca="false">I51+J50+(J48-J50)*Promote</f>
        <v>0</v>
      </c>
      <c r="K51" s="21" t="n">
        <f aca="false">J51+K50+(K48-K50)*Promote</f>
        <v>0</v>
      </c>
      <c r="L51" s="21" t="n">
        <f aca="false">K51+L50+(L48-L50)*Promote</f>
        <v>0</v>
      </c>
    </row>
    <row r="52" customFormat="false" ht="15" hidden="false" customHeight="false" outlineLevel="0" collapsed="false">
      <c r="A52" s="7" t="s">
        <v>158</v>
      </c>
      <c r="B52" s="21" t="n">
        <f aca="false">-B41</f>
        <v>28195200</v>
      </c>
      <c r="C52" s="21" t="n">
        <f aca="false">C42-C47+C45</f>
        <v>28672527.292</v>
      </c>
      <c r="D52" s="21" t="n">
        <f aca="false">D42-D47+D45</f>
        <v>28672527.292</v>
      </c>
      <c r="E52" s="21" t="n">
        <f aca="false">E42-E47+E45</f>
        <v>28672527.292</v>
      </c>
      <c r="F52" s="21" t="n">
        <f aca="false">F42-F47+F45</f>
        <v>28672527.292</v>
      </c>
      <c r="G52" s="21" t="n">
        <f aca="false">G42-G47+G45</f>
        <v>28672527.292</v>
      </c>
      <c r="H52" s="21" t="n">
        <f aca="false">H42-H47+H45</f>
        <v>28672527.292</v>
      </c>
      <c r="I52" s="21" t="n">
        <f aca="false">I42-I47+I45</f>
        <v>28672527.292</v>
      </c>
      <c r="J52" s="21" t="n">
        <f aca="false">J42-J47+J45</f>
        <v>28672527.292</v>
      </c>
      <c r="K52" s="21" t="n">
        <f aca="false">K42-K47+K45</f>
        <v>28672527.292</v>
      </c>
      <c r="L52" s="21" t="n">
        <f aca="false">L42-L47+L45</f>
        <v>5584048.9125797</v>
      </c>
    </row>
    <row r="53" customFormat="false" ht="15" hidden="false" customHeight="false" outlineLevel="0" collapsed="false">
      <c r="A53" s="7" t="s">
        <v>159</v>
      </c>
      <c r="B53" s="21" t="n">
        <f aca="false">0</f>
        <v>0</v>
      </c>
      <c r="C53" s="21" t="n">
        <f aca="false">C43+C44-C46</f>
        <v>2255616</v>
      </c>
      <c r="D53" s="21" t="n">
        <f aca="false">D43+D44-D46</f>
        <v>3865030.63136</v>
      </c>
      <c r="E53" s="21" t="n">
        <f aca="false">E43+E44-E46</f>
        <v>5372566.1075088</v>
      </c>
      <c r="F53" s="21" t="n">
        <f aca="false">F43+F44-F46</f>
        <v>6465500.95422581</v>
      </c>
      <c r="G53" s="21" t="n">
        <f aca="false">G43+G44-G46</f>
        <v>7426681.57181657</v>
      </c>
      <c r="H53" s="21" t="n">
        <f aca="false">H43+H44-H46</f>
        <v>8510669.84490472</v>
      </c>
      <c r="I53" s="21" t="n">
        <f aca="false">I43+I44-I46</f>
        <v>9474755.23414718</v>
      </c>
      <c r="J53" s="21" t="n">
        <f aca="false">J43+J44-J46</f>
        <v>10921766.7502018</v>
      </c>
      <c r="K53" s="21" t="n">
        <f aca="false">K43+K44-K46</f>
        <v>12044162.7100867</v>
      </c>
      <c r="L53" s="21" t="n">
        <f aca="false">L43+L44-L46</f>
        <v>0</v>
      </c>
    </row>
    <row r="54" customFormat="false" ht="15" hidden="false" customHeight="false" outlineLevel="0" collapsed="false">
      <c r="A54" s="7" t="s">
        <v>157</v>
      </c>
      <c r="B54" s="21" t="n">
        <f aca="false">B41</f>
        <v>-28195200</v>
      </c>
      <c r="C54" s="21" t="n">
        <f aca="false">IF(C41&lt;0,C41,C46+C47+(C48-C50)*(1-Promote))</f>
        <v>-477327.292</v>
      </c>
      <c r="D54" s="21" t="n">
        <f aca="false">IF(D41&lt;0,D41,D46+D47+(D48-D50)*(1-Promote))</f>
        <v>864836.832</v>
      </c>
      <c r="E54" s="21" t="n">
        <f aca="false">IF(E41&lt;0,E41,E46+E47+(E48-E50)*(1-Promote))</f>
        <v>1095469.15772</v>
      </c>
      <c r="F54" s="21" t="n">
        <f aca="false">IF(F41&lt;0,F41,F46+F47+(F48-F50)*(1-Promote))</f>
        <v>1630672.6252437</v>
      </c>
      <c r="G54" s="21" t="n">
        <f aca="false">IF(G41&lt;0,G41,G46+G47+(G48-G50)*(1-Promote))</f>
        <v>1849861.6421073</v>
      </c>
      <c r="H54" s="21" t="n">
        <f aca="false">IF(H41&lt;0,H41,H46+H47+(H48-H50)*(1-Promote))</f>
        <v>1803948.43601717</v>
      </c>
      <c r="I54" s="21" t="n">
        <f aca="false">IF(I41&lt;0,I41,I46+I47+(I48-I50)*(1-Promote))</f>
        <v>2010570.38170992</v>
      </c>
      <c r="J54" s="21" t="n">
        <f aca="false">IF(J41&lt;0,J41,J46+J47+(J48-J50)*(1-Promote))</f>
        <v>1604771.08603718</v>
      </c>
      <c r="K54" s="21" t="n">
        <f aca="false">IF(K41&lt;0,K41,K46+K47+(K48-K50)*(1-Promote))</f>
        <v>2045147.56349119</v>
      </c>
      <c r="L54" s="21" t="n">
        <f aca="false">IF(L41&lt;0,L41,L46+L47+(L48-L50)*(1-Promote))</f>
        <v>38389976.289674</v>
      </c>
    </row>
    <row r="56" customFormat="false" ht="15" hidden="false" customHeight="false" outlineLevel="0" collapsed="false">
      <c r="A56" s="11" t="s">
        <v>235</v>
      </c>
    </row>
    <row r="57" customFormat="false" ht="15" hidden="false" customHeight="false" outlineLevel="0" collapsed="false">
      <c r="A57" s="7" t="s">
        <v>144</v>
      </c>
      <c r="B57" s="21" t="n">
        <f aca="false">B7</f>
        <v>-28195200</v>
      </c>
      <c r="C57" s="21" t="n">
        <f aca="false">C7</f>
        <v>-477327.292</v>
      </c>
      <c r="D57" s="21" t="n">
        <f aca="false">D7</f>
        <v>864836.832</v>
      </c>
      <c r="E57" s="21" t="n">
        <f aca="false">E7</f>
        <v>1095469.15772</v>
      </c>
      <c r="F57" s="21" t="n">
        <f aca="false">F7</f>
        <v>1630672.6252437</v>
      </c>
      <c r="G57" s="21" t="n">
        <f aca="false">G7</f>
        <v>1849861.6421073</v>
      </c>
      <c r="H57" s="21" t="n">
        <f aca="false">H7</f>
        <v>1803948.43601717</v>
      </c>
      <c r="I57" s="21" t="n">
        <f aca="false">I7</f>
        <v>2010570.38170992</v>
      </c>
      <c r="J57" s="21" t="n">
        <f aca="false">J7</f>
        <v>1604771.08603718</v>
      </c>
      <c r="K57" s="21" t="n">
        <f aca="false">K7</f>
        <v>2045147.56349119</v>
      </c>
      <c r="L57" s="21" t="n">
        <f aca="false">L7</f>
        <v>38389976.289674</v>
      </c>
    </row>
    <row r="58" customFormat="false" ht="15" hidden="false" customHeight="false" outlineLevel="0" collapsed="false">
      <c r="A58" s="7" t="s">
        <v>145</v>
      </c>
      <c r="B58" s="21" t="n">
        <f aca="false">0</f>
        <v>0</v>
      </c>
      <c r="C58" s="21" t="n">
        <f aca="false">B68</f>
        <v>28195200</v>
      </c>
      <c r="D58" s="21" t="n">
        <f aca="false">C68</f>
        <v>28195200</v>
      </c>
      <c r="E58" s="21" t="n">
        <f aca="false">D68</f>
        <v>28195200</v>
      </c>
      <c r="F58" s="21" t="n">
        <f aca="false">E68</f>
        <v>28195200</v>
      </c>
      <c r="G58" s="21" t="n">
        <f aca="false">F68</f>
        <v>28195200</v>
      </c>
      <c r="H58" s="21" t="n">
        <f aca="false">G68</f>
        <v>28195200</v>
      </c>
      <c r="I58" s="21" t="n">
        <f aca="false">H68</f>
        <v>28195200</v>
      </c>
      <c r="J58" s="21" t="n">
        <f aca="false">I68</f>
        <v>28195200</v>
      </c>
      <c r="K58" s="21" t="n">
        <f aca="false">J68</f>
        <v>28195200</v>
      </c>
      <c r="L58" s="21" t="n">
        <f aca="false">K68</f>
        <v>28195200</v>
      </c>
    </row>
    <row r="59" customFormat="false" ht="15" hidden="false" customHeight="false" outlineLevel="0" collapsed="false">
      <c r="A59" s="7" t="s">
        <v>146</v>
      </c>
      <c r="B59" s="21" t="n">
        <f aca="false">0</f>
        <v>0</v>
      </c>
      <c r="C59" s="21" t="n">
        <f aca="false">B69</f>
        <v>0</v>
      </c>
      <c r="D59" s="21" t="n">
        <f aca="false">C69</f>
        <v>2255616</v>
      </c>
      <c r="E59" s="21" t="n">
        <f aca="false">D69</f>
        <v>3826844.448</v>
      </c>
      <c r="F59" s="21" t="n">
        <f aca="false">E69</f>
        <v>5293138.84612</v>
      </c>
      <c r="G59" s="21" t="n">
        <f aca="false">F69</f>
        <v>6341533.3285659</v>
      </c>
      <c r="H59" s="21" t="n">
        <f aca="false">G69</f>
        <v>7254610.35274387</v>
      </c>
      <c r="I59" s="21" t="n">
        <f aca="false">H69</f>
        <v>8286646.7449462</v>
      </c>
      <c r="J59" s="21" t="n">
        <f aca="false">I69</f>
        <v>9194624.10283198</v>
      </c>
      <c r="K59" s="21" t="n">
        <f aca="false">J69</f>
        <v>10581038.9450214</v>
      </c>
      <c r="L59" s="21" t="n">
        <f aca="false">K69</f>
        <v>11637990.4971319</v>
      </c>
    </row>
    <row r="60" customFormat="false" ht="15" hidden="false" customHeight="false" outlineLevel="0" collapsed="false">
      <c r="A60" s="7" t="s">
        <v>147</v>
      </c>
      <c r="B60" s="21" t="n">
        <f aca="false">0</f>
        <v>0</v>
      </c>
      <c r="C60" s="21" t="n">
        <f aca="false">(C58+C59)*Pref</f>
        <v>2255616</v>
      </c>
      <c r="D60" s="21" t="n">
        <f aca="false">(D58+D59)*Pref</f>
        <v>2436065.28</v>
      </c>
      <c r="E60" s="21" t="n">
        <f aca="false">(E58+E59)*Pref</f>
        <v>2561763.55584</v>
      </c>
      <c r="F60" s="21" t="n">
        <f aca="false">(F58+F59)*Pref</f>
        <v>2679067.1076896</v>
      </c>
      <c r="G60" s="21" t="n">
        <f aca="false">(G58+G59)*Pref</f>
        <v>2762938.66628527</v>
      </c>
      <c r="H60" s="21" t="n">
        <f aca="false">(H58+H59)*Pref</f>
        <v>2835984.82821951</v>
      </c>
      <c r="I60" s="21" t="n">
        <f aca="false">(I58+I59)*Pref</f>
        <v>2918547.7395957</v>
      </c>
      <c r="J60" s="21" t="n">
        <f aca="false">(J58+J59)*Pref</f>
        <v>2991185.92822656</v>
      </c>
      <c r="K60" s="21" t="n">
        <f aca="false">(K58+K59)*Pref</f>
        <v>3102099.11560171</v>
      </c>
      <c r="L60" s="21" t="n">
        <f aca="false">(L58+L59)*Pref</f>
        <v>3186655.23977055</v>
      </c>
    </row>
    <row r="61" customFormat="false" ht="15" hidden="false" customHeight="false" outlineLevel="0" collapsed="false">
      <c r="A61" s="7" t="s">
        <v>148</v>
      </c>
      <c r="B61" s="21" t="n">
        <f aca="false">0</f>
        <v>0</v>
      </c>
      <c r="C61" s="21" t="n">
        <f aca="false">IF(C57&lt;0,-C57*0,0)</f>
        <v>0</v>
      </c>
      <c r="D61" s="21" t="n">
        <f aca="false">IF(D57&lt;0,-D57*0,0)</f>
        <v>0</v>
      </c>
      <c r="E61" s="21" t="n">
        <f aca="false">IF(E57&lt;0,-E57*0,0)</f>
        <v>0</v>
      </c>
      <c r="F61" s="21" t="n">
        <f aca="false">IF(F57&lt;0,-F57*0,0)</f>
        <v>0</v>
      </c>
      <c r="G61" s="21" t="n">
        <f aca="false">IF(G57&lt;0,-G57*0,0)</f>
        <v>0</v>
      </c>
      <c r="H61" s="21" t="n">
        <f aca="false">IF(H57&lt;0,-H57*0,0)</f>
        <v>0</v>
      </c>
      <c r="I61" s="21" t="n">
        <f aca="false">IF(I57&lt;0,-I57*0,0)</f>
        <v>0</v>
      </c>
      <c r="J61" s="21" t="n">
        <f aca="false">IF(J57&lt;0,-J57*0,0)</f>
        <v>0</v>
      </c>
      <c r="K61" s="21" t="n">
        <f aca="false">IF(K57&lt;0,-K57*0,0)</f>
        <v>0</v>
      </c>
      <c r="L61" s="21" t="n">
        <f aca="false">IF(L57&lt;0,-L57*0,0)</f>
        <v>0</v>
      </c>
    </row>
    <row r="62" customFormat="false" ht="15" hidden="false" customHeight="false" outlineLevel="0" collapsed="false">
      <c r="A62" s="7" t="s">
        <v>149</v>
      </c>
      <c r="B62" s="21" t="n">
        <f aca="false">0</f>
        <v>0</v>
      </c>
      <c r="C62" s="21" t="n">
        <f aca="false">IF(C57&gt;0,MIN(C57,C59+C60),0)</f>
        <v>0</v>
      </c>
      <c r="D62" s="21" t="n">
        <f aca="false">IF(D57&gt;0,MIN(D57,D59+D60),0)</f>
        <v>864836.832</v>
      </c>
      <c r="E62" s="21" t="n">
        <f aca="false">IF(E57&gt;0,MIN(E57,E59+E60),0)</f>
        <v>1095469.15772</v>
      </c>
      <c r="F62" s="21" t="n">
        <f aca="false">IF(F57&gt;0,MIN(F57,F59+F60),0)</f>
        <v>1630672.6252437</v>
      </c>
      <c r="G62" s="21" t="n">
        <f aca="false">IF(G57&gt;0,MIN(G57,G59+G60),0)</f>
        <v>1849861.6421073</v>
      </c>
      <c r="H62" s="21" t="n">
        <f aca="false">IF(H57&gt;0,MIN(H57,H59+H60),0)</f>
        <v>1803948.43601717</v>
      </c>
      <c r="I62" s="21" t="n">
        <f aca="false">IF(I57&gt;0,MIN(I57,I59+I60),0)</f>
        <v>2010570.38170992</v>
      </c>
      <c r="J62" s="21" t="n">
        <f aca="false">IF(J57&gt;0,MIN(J57,J59+J60),0)</f>
        <v>1604771.08603718</v>
      </c>
      <c r="K62" s="21" t="n">
        <f aca="false">IF(K57&gt;0,MIN(K57,K59+K60),0)</f>
        <v>2045147.56349119</v>
      </c>
      <c r="L62" s="21" t="n">
        <f aca="false">IF(L57&gt;0,MIN(L57,L59+L60),0)</f>
        <v>14824645.7369024</v>
      </c>
    </row>
    <row r="63" customFormat="false" ht="15" hidden="false" customHeight="false" outlineLevel="0" collapsed="false">
      <c r="A63" s="7" t="s">
        <v>150</v>
      </c>
      <c r="B63" s="21" t="n">
        <f aca="false">0</f>
        <v>0</v>
      </c>
      <c r="C63" s="21" t="n">
        <f aca="false">IF(C57&gt;0,MIN(C57-C62,C58),0)</f>
        <v>0</v>
      </c>
      <c r="D63" s="21" t="n">
        <f aca="false">IF(D57&gt;0,MIN(D57-D62,D58),0)</f>
        <v>0</v>
      </c>
      <c r="E63" s="21" t="n">
        <f aca="false">IF(E57&gt;0,MIN(E57-E62,E58),0)</f>
        <v>0</v>
      </c>
      <c r="F63" s="21" t="n">
        <f aca="false">IF(F57&gt;0,MIN(F57-F62,F58),0)</f>
        <v>0</v>
      </c>
      <c r="G63" s="21" t="n">
        <f aca="false">IF(G57&gt;0,MIN(G57-G62,G58),0)</f>
        <v>0</v>
      </c>
      <c r="H63" s="21" t="n">
        <f aca="false">IF(H57&gt;0,MIN(H57-H62,H58),0)</f>
        <v>0</v>
      </c>
      <c r="I63" s="21" t="n">
        <f aca="false">IF(I57&gt;0,MIN(I57-I62,I58),0)</f>
        <v>0</v>
      </c>
      <c r="J63" s="21" t="n">
        <f aca="false">IF(J57&gt;0,MIN(J57-J62,J58),0)</f>
        <v>0</v>
      </c>
      <c r="K63" s="21" t="n">
        <f aca="false">IF(K57&gt;0,MIN(K57-K62,K58),0)</f>
        <v>0</v>
      </c>
      <c r="L63" s="21" t="n">
        <f aca="false">IF(L57&gt;0,MIN(L57-L62,L58),0)</f>
        <v>23565330.5527715</v>
      </c>
    </row>
    <row r="64" customFormat="false" ht="15" hidden="false" customHeight="false" outlineLevel="0" collapsed="false">
      <c r="A64" s="7" t="s">
        <v>151</v>
      </c>
      <c r="B64" s="21" t="n">
        <f aca="false">0</f>
        <v>0</v>
      </c>
      <c r="C64" s="21" t="n">
        <f aca="false">IF(C57&gt;0,C57-C62-C63,0)</f>
        <v>0</v>
      </c>
      <c r="D64" s="21" t="n">
        <f aca="false">IF(D57&gt;0,D57-D62-D63,0)</f>
        <v>0</v>
      </c>
      <c r="E64" s="21" t="n">
        <f aca="false">IF(E57&gt;0,E57-E62-E63,0)</f>
        <v>0</v>
      </c>
      <c r="F64" s="21" t="n">
        <f aca="false">IF(F57&gt;0,F57-F62-F63,0)</f>
        <v>0</v>
      </c>
      <c r="G64" s="21" t="n">
        <f aca="false">IF(G57&gt;0,G57-G62-G63,0)</f>
        <v>0</v>
      </c>
      <c r="H64" s="21" t="n">
        <f aca="false">IF(H57&gt;0,H57-H62-H63,0)</f>
        <v>0</v>
      </c>
      <c r="I64" s="21" t="n">
        <f aca="false">IF(I57&gt;0,I57-I62-I63,0)</f>
        <v>0</v>
      </c>
      <c r="J64" s="21" t="n">
        <f aca="false">IF(J57&gt;0,J57-J62-J63,0)</f>
        <v>0</v>
      </c>
      <c r="K64" s="21" t="n">
        <f aca="false">IF(K57&gt;0,K57-K62-K63,0)</f>
        <v>0</v>
      </c>
      <c r="L64" s="21" t="n">
        <f aca="false">IF(L57&gt;0,L57-L62-L63,0)</f>
        <v>0</v>
      </c>
    </row>
    <row r="65" customFormat="false" ht="15" hidden="false" customHeight="false" outlineLevel="0" collapsed="false">
      <c r="A65" s="7" t="s">
        <v>152</v>
      </c>
      <c r="B65" s="21" t="n">
        <f aca="false">0</f>
        <v>0</v>
      </c>
      <c r="C65" s="21" t="n">
        <f aca="false">B65+C62</f>
        <v>0</v>
      </c>
      <c r="D65" s="21" t="n">
        <f aca="false">C65+D62</f>
        <v>864836.832</v>
      </c>
      <c r="E65" s="21" t="n">
        <f aca="false">D65+E62</f>
        <v>1960305.98972</v>
      </c>
      <c r="F65" s="21" t="n">
        <f aca="false">E65+F62</f>
        <v>3590978.6149637</v>
      </c>
      <c r="G65" s="21" t="n">
        <f aca="false">F65+G62</f>
        <v>5440840.257071</v>
      </c>
      <c r="H65" s="21" t="n">
        <f aca="false">G65+H62</f>
        <v>7244788.69308818</v>
      </c>
      <c r="I65" s="21" t="n">
        <f aca="false">H65+I62</f>
        <v>9255359.0747981</v>
      </c>
      <c r="J65" s="21" t="n">
        <f aca="false">I65+J62</f>
        <v>10860130.1608353</v>
      </c>
      <c r="K65" s="21" t="n">
        <f aca="false">J65+K62</f>
        <v>12905277.7243265</v>
      </c>
      <c r="L65" s="21" t="n">
        <f aca="false">K65+L62</f>
        <v>27729923.4612289</v>
      </c>
    </row>
    <row r="66" customFormat="false" ht="15" hidden="false" customHeight="false" outlineLevel="0" collapsed="false">
      <c r="A66" s="7" t="s">
        <v>154</v>
      </c>
      <c r="B66" s="21" t="n">
        <f aca="false">0</f>
        <v>0</v>
      </c>
      <c r="C66" s="21" t="n">
        <f aca="false">1*MIN(C64,MAX(0,C65*CatchUp-B67))</f>
        <v>0</v>
      </c>
      <c r="D66" s="21" t="n">
        <f aca="false">1*MIN(D64,MAX(0,D65*CatchUp-C67))</f>
        <v>0</v>
      </c>
      <c r="E66" s="21" t="n">
        <f aca="false">1*MIN(E64,MAX(0,E65*CatchUp-D67))</f>
        <v>0</v>
      </c>
      <c r="F66" s="21" t="n">
        <f aca="false">1*MIN(F64,MAX(0,F65*CatchUp-E67))</f>
        <v>0</v>
      </c>
      <c r="G66" s="21" t="n">
        <f aca="false">1*MIN(G64,MAX(0,G65*CatchUp-F67))</f>
        <v>0</v>
      </c>
      <c r="H66" s="21" t="n">
        <f aca="false">1*MIN(H64,MAX(0,H65*CatchUp-G67))</f>
        <v>0</v>
      </c>
      <c r="I66" s="21" t="n">
        <f aca="false">1*MIN(I64,MAX(0,I65*CatchUp-H67))</f>
        <v>0</v>
      </c>
      <c r="J66" s="21" t="n">
        <f aca="false">1*MIN(J64,MAX(0,J65*CatchUp-I67))</f>
        <v>0</v>
      </c>
      <c r="K66" s="21" t="n">
        <f aca="false">1*MIN(K64,MAX(0,K65*CatchUp-J67))</f>
        <v>0</v>
      </c>
      <c r="L66" s="21" t="n">
        <f aca="false">1*MIN(L64,MAX(0,L65*CatchUp-K67))</f>
        <v>0</v>
      </c>
    </row>
    <row r="67" customFormat="false" ht="15" hidden="false" customHeight="false" outlineLevel="0" collapsed="false">
      <c r="A67" s="7" t="s">
        <v>156</v>
      </c>
      <c r="B67" s="21" t="n">
        <f aca="false">0</f>
        <v>0</v>
      </c>
      <c r="C67" s="21" t="n">
        <f aca="false">B67+C66+(C64-C66)*Promote</f>
        <v>0</v>
      </c>
      <c r="D67" s="21" t="n">
        <f aca="false">C67+D66+(D64-D66)*Promote</f>
        <v>0</v>
      </c>
      <c r="E67" s="21" t="n">
        <f aca="false">D67+E66+(E64-E66)*Promote</f>
        <v>0</v>
      </c>
      <c r="F67" s="21" t="n">
        <f aca="false">E67+F66+(F64-F66)*Promote</f>
        <v>0</v>
      </c>
      <c r="G67" s="21" t="n">
        <f aca="false">F67+G66+(G64-G66)*Promote</f>
        <v>0</v>
      </c>
      <c r="H67" s="21" t="n">
        <f aca="false">G67+H66+(H64-H66)*Promote</f>
        <v>0</v>
      </c>
      <c r="I67" s="21" t="n">
        <f aca="false">H67+I66+(I64-I66)*Promote</f>
        <v>0</v>
      </c>
      <c r="J67" s="21" t="n">
        <f aca="false">I67+J66+(J64-J66)*Promote</f>
        <v>0</v>
      </c>
      <c r="K67" s="21" t="n">
        <f aca="false">J67+K66+(K64-K66)*Promote</f>
        <v>0</v>
      </c>
      <c r="L67" s="21" t="n">
        <f aca="false">K67+L66+(L64-L66)*Promote</f>
        <v>0</v>
      </c>
    </row>
    <row r="68" customFormat="false" ht="15" hidden="false" customHeight="false" outlineLevel="0" collapsed="false">
      <c r="A68" s="7" t="s">
        <v>158</v>
      </c>
      <c r="B68" s="21" t="n">
        <f aca="false">-B57</f>
        <v>28195200</v>
      </c>
      <c r="C68" s="21" t="n">
        <f aca="false">C58-C63+C61</f>
        <v>28195200</v>
      </c>
      <c r="D68" s="21" t="n">
        <f aca="false">D58-D63+D61</f>
        <v>28195200</v>
      </c>
      <c r="E68" s="21" t="n">
        <f aca="false">E58-E63+E61</f>
        <v>28195200</v>
      </c>
      <c r="F68" s="21" t="n">
        <f aca="false">F58-F63+F61</f>
        <v>28195200</v>
      </c>
      <c r="G68" s="21" t="n">
        <f aca="false">G58-G63+G61</f>
        <v>28195200</v>
      </c>
      <c r="H68" s="21" t="n">
        <f aca="false">H58-H63+H61</f>
        <v>28195200</v>
      </c>
      <c r="I68" s="21" t="n">
        <f aca="false">I58-I63+I61</f>
        <v>28195200</v>
      </c>
      <c r="J68" s="21" t="n">
        <f aca="false">J58-J63+J61</f>
        <v>28195200</v>
      </c>
      <c r="K68" s="21" t="n">
        <f aca="false">K58-K63+K61</f>
        <v>28195200</v>
      </c>
      <c r="L68" s="21" t="n">
        <f aca="false">L58-L63+L61</f>
        <v>4629869.44722848</v>
      </c>
    </row>
    <row r="69" customFormat="false" ht="15" hidden="false" customHeight="false" outlineLevel="0" collapsed="false">
      <c r="A69" s="7" t="s">
        <v>159</v>
      </c>
      <c r="B69" s="21" t="n">
        <f aca="false">0</f>
        <v>0</v>
      </c>
      <c r="C69" s="21" t="n">
        <f aca="false">C59+C60-C62</f>
        <v>2255616</v>
      </c>
      <c r="D69" s="21" t="n">
        <f aca="false">D59+D60-D62</f>
        <v>3826844.448</v>
      </c>
      <c r="E69" s="21" t="n">
        <f aca="false">E59+E60-E62</f>
        <v>5293138.84612</v>
      </c>
      <c r="F69" s="21" t="n">
        <f aca="false">F59+F60-F62</f>
        <v>6341533.3285659</v>
      </c>
      <c r="G69" s="21" t="n">
        <f aca="false">G59+G60-G62</f>
        <v>7254610.35274387</v>
      </c>
      <c r="H69" s="21" t="n">
        <f aca="false">H59+H60-H62</f>
        <v>8286646.7449462</v>
      </c>
      <c r="I69" s="21" t="n">
        <f aca="false">I59+I60-I62</f>
        <v>9194624.10283198</v>
      </c>
      <c r="J69" s="21" t="n">
        <f aca="false">J59+J60-J62</f>
        <v>10581038.9450214</v>
      </c>
      <c r="K69" s="21" t="n">
        <f aca="false">K59+K60-K62</f>
        <v>11637990.4971319</v>
      </c>
      <c r="L69" s="21" t="n">
        <f aca="false">L59+L60-L62</f>
        <v>0</v>
      </c>
    </row>
    <row r="70" customFormat="false" ht="15" hidden="false" customHeight="false" outlineLevel="0" collapsed="false">
      <c r="A70" s="7" t="s">
        <v>157</v>
      </c>
      <c r="B70" s="21" t="n">
        <f aca="false">B57</f>
        <v>-28195200</v>
      </c>
      <c r="C70" s="21" t="n">
        <f aca="false">IF(C57&lt;0,C57,C62+C63+(C64-C66)*(1-Promote))</f>
        <v>-477327.292</v>
      </c>
      <c r="D70" s="21" t="n">
        <f aca="false">IF(D57&lt;0,D57,D62+D63+(D64-D66)*(1-Promote))</f>
        <v>864836.832</v>
      </c>
      <c r="E70" s="21" t="n">
        <f aca="false">IF(E57&lt;0,E57,E62+E63+(E64-E66)*(1-Promote))</f>
        <v>1095469.15772</v>
      </c>
      <c r="F70" s="21" t="n">
        <f aca="false">IF(F57&lt;0,F57,F62+F63+(F64-F66)*(1-Promote))</f>
        <v>1630672.6252437</v>
      </c>
      <c r="G70" s="21" t="n">
        <f aca="false">IF(G57&lt;0,G57,G62+G63+(G64-G66)*(1-Promote))</f>
        <v>1849861.6421073</v>
      </c>
      <c r="H70" s="21" t="n">
        <f aca="false">IF(H57&lt;0,H57,H62+H63+(H64-H66)*(1-Promote))</f>
        <v>1803948.43601717</v>
      </c>
      <c r="I70" s="21" t="n">
        <f aca="false">IF(I57&lt;0,I57,I62+I63+(I64-I66)*(1-Promote))</f>
        <v>2010570.38170992</v>
      </c>
      <c r="J70" s="21" t="n">
        <f aca="false">IF(J57&lt;0,J57,J62+J63+(J64-J66)*(1-Promote))</f>
        <v>1604771.08603718</v>
      </c>
      <c r="K70" s="21" t="n">
        <f aca="false">IF(K57&lt;0,K57,K62+K63+(K64-K66)*(1-Promote))</f>
        <v>2045147.56349119</v>
      </c>
      <c r="L70" s="21" t="n">
        <f aca="false">IF(L57&lt;0,L57,L62+L63+(L64-L66)*(1-Promote))</f>
        <v>38389976.289674</v>
      </c>
    </row>
    <row r="72" customFormat="false" ht="15" hidden="false" customHeight="false" outlineLevel="0" collapsed="false">
      <c r="A72" s="11" t="s">
        <v>236</v>
      </c>
    </row>
    <row r="73" customFormat="false" ht="15" hidden="false" customHeight="false" outlineLevel="0" collapsed="false">
      <c r="A73" s="7" t="s">
        <v>144</v>
      </c>
      <c r="B73" s="21" t="n">
        <f aca="false">B8</f>
        <v>-22973280</v>
      </c>
      <c r="C73" s="21" t="n">
        <f aca="false">C8</f>
        <v>-707007.292</v>
      </c>
      <c r="D73" s="21" t="n">
        <f aca="false">D8</f>
        <v>635156.832</v>
      </c>
      <c r="E73" s="21" t="n">
        <f aca="false">E8</f>
        <v>865789.15772</v>
      </c>
      <c r="F73" s="21" t="n">
        <f aca="false">F8</f>
        <v>1400992.6252437</v>
      </c>
      <c r="G73" s="21" t="n">
        <f aca="false">G8</f>
        <v>1620181.6421073</v>
      </c>
      <c r="H73" s="21" t="n">
        <f aca="false">H8</f>
        <v>1574268.43601717</v>
      </c>
      <c r="I73" s="21" t="n">
        <f aca="false">I8</f>
        <v>1780890.38170992</v>
      </c>
      <c r="J73" s="21" t="n">
        <f aca="false">J8</f>
        <v>1375091.08603718</v>
      </c>
      <c r="K73" s="21" t="n">
        <f aca="false">K8</f>
        <v>1815467.56349119</v>
      </c>
      <c r="L73" s="21" t="n">
        <f aca="false">L8</f>
        <v>32880296.289674</v>
      </c>
    </row>
    <row r="74" customFormat="false" ht="15" hidden="false" customHeight="false" outlineLevel="0" collapsed="false">
      <c r="A74" s="7" t="s">
        <v>145</v>
      </c>
      <c r="B74" s="21" t="n">
        <f aca="false">0</f>
        <v>0</v>
      </c>
      <c r="C74" s="21" t="n">
        <f aca="false">B84</f>
        <v>22973280</v>
      </c>
      <c r="D74" s="21" t="n">
        <f aca="false">C84</f>
        <v>23680287.292</v>
      </c>
      <c r="E74" s="21" t="n">
        <f aca="false">D84</f>
        <v>23680287.292</v>
      </c>
      <c r="F74" s="21" t="n">
        <f aca="false">E84</f>
        <v>23680287.292</v>
      </c>
      <c r="G74" s="21" t="n">
        <f aca="false">F84</f>
        <v>23680287.292</v>
      </c>
      <c r="H74" s="21" t="n">
        <f aca="false">G84</f>
        <v>23680287.292</v>
      </c>
      <c r="I74" s="21" t="n">
        <f aca="false">H84</f>
        <v>23680287.292</v>
      </c>
      <c r="J74" s="21" t="n">
        <f aca="false">I84</f>
        <v>23680287.292</v>
      </c>
      <c r="K74" s="21" t="n">
        <f aca="false">J84</f>
        <v>23680287.292</v>
      </c>
      <c r="L74" s="21" t="n">
        <f aca="false">K84</f>
        <v>23680287.292</v>
      </c>
    </row>
    <row r="75" customFormat="false" ht="15" hidden="false" customHeight="false" outlineLevel="0" collapsed="false">
      <c r="A75" s="7" t="s">
        <v>146</v>
      </c>
      <c r="B75" s="21" t="n">
        <f aca="false">0</f>
        <v>0</v>
      </c>
      <c r="C75" s="21" t="n">
        <f aca="false">B85</f>
        <v>0</v>
      </c>
      <c r="D75" s="21" t="n">
        <f aca="false">C85</f>
        <v>1837862.4</v>
      </c>
      <c r="E75" s="21" t="n">
        <f aca="false">D85</f>
        <v>3244157.54336</v>
      </c>
      <c r="F75" s="21" t="n">
        <f aca="false">E85</f>
        <v>4532323.9724688</v>
      </c>
      <c r="G75" s="21" t="n">
        <f aca="false">F85</f>
        <v>5388340.24838261</v>
      </c>
      <c r="H75" s="21" t="n">
        <f aca="false">G85</f>
        <v>6093648.80950591</v>
      </c>
      <c r="I75" s="21" t="n">
        <f aca="false">H85</f>
        <v>6901295.26160921</v>
      </c>
      <c r="J75" s="21" t="n">
        <f aca="false">I85</f>
        <v>7566931.48418803</v>
      </c>
      <c r="K75" s="21" t="n">
        <f aca="false">J85</f>
        <v>8691617.90024589</v>
      </c>
      <c r="L75" s="21" t="n">
        <f aca="false">K85</f>
        <v>9465902.75213438</v>
      </c>
    </row>
    <row r="76" customFormat="false" ht="15" hidden="false" customHeight="false" outlineLevel="0" collapsed="false">
      <c r="A76" s="7" t="s">
        <v>147</v>
      </c>
      <c r="B76" s="21" t="n">
        <f aca="false">0</f>
        <v>0</v>
      </c>
      <c r="C76" s="21" t="n">
        <f aca="false">(C74+C75)*Pref</f>
        <v>1837862.4</v>
      </c>
      <c r="D76" s="21" t="n">
        <f aca="false">(D74+D75)*Pref</f>
        <v>2041451.97536</v>
      </c>
      <c r="E76" s="21" t="n">
        <f aca="false">(E74+E75)*Pref</f>
        <v>2153955.5868288</v>
      </c>
      <c r="F76" s="21" t="n">
        <f aca="false">(F74+F75)*Pref</f>
        <v>2257008.9011575</v>
      </c>
      <c r="G76" s="21" t="n">
        <f aca="false">(G74+G75)*Pref</f>
        <v>2325490.20323061</v>
      </c>
      <c r="H76" s="21" t="n">
        <f aca="false">(H74+H75)*Pref</f>
        <v>2381914.88812047</v>
      </c>
      <c r="I76" s="21" t="n">
        <f aca="false">(I74+I75)*Pref</f>
        <v>2446526.60428874</v>
      </c>
      <c r="J76" s="21" t="n">
        <f aca="false">(J74+J75)*Pref</f>
        <v>2499777.50209504</v>
      </c>
      <c r="K76" s="21" t="n">
        <f aca="false">(K74+K75)*Pref</f>
        <v>2589752.41537967</v>
      </c>
      <c r="L76" s="21" t="n">
        <f aca="false">(L74+L75)*Pref</f>
        <v>2651695.20353075</v>
      </c>
    </row>
    <row r="77" customFormat="false" ht="15" hidden="false" customHeight="false" outlineLevel="0" collapsed="false">
      <c r="A77" s="7" t="s">
        <v>148</v>
      </c>
      <c r="B77" s="21" t="n">
        <f aca="false">0</f>
        <v>0</v>
      </c>
      <c r="C77" s="21" t="n">
        <f aca="false">IF(C73&lt;0,-C73*1,0)</f>
        <v>707007.292</v>
      </c>
      <c r="D77" s="21" t="n">
        <f aca="false">IF(D73&lt;0,-D73*1,0)</f>
        <v>0</v>
      </c>
      <c r="E77" s="21" t="n">
        <f aca="false">IF(E73&lt;0,-E73*1,0)</f>
        <v>0</v>
      </c>
      <c r="F77" s="21" t="n">
        <f aca="false">IF(F73&lt;0,-F73*1,0)</f>
        <v>0</v>
      </c>
      <c r="G77" s="21" t="n">
        <f aca="false">IF(G73&lt;0,-G73*1,0)</f>
        <v>0</v>
      </c>
      <c r="H77" s="21" t="n">
        <f aca="false">IF(H73&lt;0,-H73*1,0)</f>
        <v>0</v>
      </c>
      <c r="I77" s="21" t="n">
        <f aca="false">IF(I73&lt;0,-I73*1,0)</f>
        <v>0</v>
      </c>
      <c r="J77" s="21" t="n">
        <f aca="false">IF(J73&lt;0,-J73*1,0)</f>
        <v>0</v>
      </c>
      <c r="K77" s="21" t="n">
        <f aca="false">IF(K73&lt;0,-K73*1,0)</f>
        <v>0</v>
      </c>
      <c r="L77" s="21" t="n">
        <f aca="false">IF(L73&lt;0,-L73*1,0)</f>
        <v>0</v>
      </c>
    </row>
    <row r="78" customFormat="false" ht="15" hidden="false" customHeight="false" outlineLevel="0" collapsed="false">
      <c r="A78" s="7" t="s">
        <v>149</v>
      </c>
      <c r="B78" s="21" t="n">
        <f aca="false">0</f>
        <v>0</v>
      </c>
      <c r="C78" s="21" t="n">
        <f aca="false">IF(C73&gt;0,MIN(C73,C75+C76),0)</f>
        <v>0</v>
      </c>
      <c r="D78" s="21" t="n">
        <f aca="false">IF(D73&gt;0,MIN(D73,D75+D76),0)</f>
        <v>635156.832</v>
      </c>
      <c r="E78" s="21" t="n">
        <f aca="false">IF(E73&gt;0,MIN(E73,E75+E76),0)</f>
        <v>865789.15772</v>
      </c>
      <c r="F78" s="21" t="n">
        <f aca="false">IF(F73&gt;0,MIN(F73,F75+F76),0)</f>
        <v>1400992.6252437</v>
      </c>
      <c r="G78" s="21" t="n">
        <f aca="false">IF(G73&gt;0,MIN(G73,G75+G76),0)</f>
        <v>1620181.6421073</v>
      </c>
      <c r="H78" s="21" t="n">
        <f aca="false">IF(H73&gt;0,MIN(H73,H75+H76),0)</f>
        <v>1574268.43601717</v>
      </c>
      <c r="I78" s="21" t="n">
        <f aca="false">IF(I73&gt;0,MIN(I73,I75+I76),0)</f>
        <v>1780890.38170992</v>
      </c>
      <c r="J78" s="21" t="n">
        <f aca="false">IF(J73&gt;0,MIN(J73,J75+J76),0)</f>
        <v>1375091.08603718</v>
      </c>
      <c r="K78" s="21" t="n">
        <f aca="false">IF(K73&gt;0,MIN(K73,K75+K76),0)</f>
        <v>1815467.56349119</v>
      </c>
      <c r="L78" s="21" t="n">
        <f aca="false">IF(L73&gt;0,MIN(L73,L75+L76),0)</f>
        <v>12117597.9556651</v>
      </c>
    </row>
    <row r="79" customFormat="false" ht="15" hidden="false" customHeight="false" outlineLevel="0" collapsed="false">
      <c r="A79" s="7" t="s">
        <v>150</v>
      </c>
      <c r="B79" s="21" t="n">
        <f aca="false">0</f>
        <v>0</v>
      </c>
      <c r="C79" s="21" t="n">
        <f aca="false">IF(C73&gt;0,MIN(C73-C78,C74),0)</f>
        <v>0</v>
      </c>
      <c r="D79" s="21" t="n">
        <f aca="false">IF(D73&gt;0,MIN(D73-D78,D74),0)</f>
        <v>0</v>
      </c>
      <c r="E79" s="21" t="n">
        <f aca="false">IF(E73&gt;0,MIN(E73-E78,E74),0)</f>
        <v>0</v>
      </c>
      <c r="F79" s="21" t="n">
        <f aca="false">IF(F73&gt;0,MIN(F73-F78,F74),0)</f>
        <v>0</v>
      </c>
      <c r="G79" s="21" t="n">
        <f aca="false">IF(G73&gt;0,MIN(G73-G78,G74),0)</f>
        <v>0</v>
      </c>
      <c r="H79" s="21" t="n">
        <f aca="false">IF(H73&gt;0,MIN(H73-H78,H74),0)</f>
        <v>0</v>
      </c>
      <c r="I79" s="21" t="n">
        <f aca="false">IF(I73&gt;0,MIN(I73-I78,I74),0)</f>
        <v>0</v>
      </c>
      <c r="J79" s="21" t="n">
        <f aca="false">IF(J73&gt;0,MIN(J73-J78,J74),0)</f>
        <v>0</v>
      </c>
      <c r="K79" s="21" t="n">
        <f aca="false">IF(K73&gt;0,MIN(K73-K78,K74),0)</f>
        <v>0</v>
      </c>
      <c r="L79" s="21" t="n">
        <f aca="false">IF(L73&gt;0,MIN(L73-L78,L74),0)</f>
        <v>20762698.3340088</v>
      </c>
    </row>
    <row r="80" customFormat="false" ht="15" hidden="false" customHeight="false" outlineLevel="0" collapsed="false">
      <c r="A80" s="7" t="s">
        <v>151</v>
      </c>
      <c r="B80" s="21" t="n">
        <f aca="false">0</f>
        <v>0</v>
      </c>
      <c r="C80" s="21" t="n">
        <f aca="false">IF(C73&gt;0,C73-C78-C79,0)</f>
        <v>0</v>
      </c>
      <c r="D80" s="21" t="n">
        <f aca="false">IF(D73&gt;0,D73-D78-D79,0)</f>
        <v>0</v>
      </c>
      <c r="E80" s="21" t="n">
        <f aca="false">IF(E73&gt;0,E73-E78-E79,0)</f>
        <v>0</v>
      </c>
      <c r="F80" s="21" t="n">
        <f aca="false">IF(F73&gt;0,F73-F78-F79,0)</f>
        <v>0</v>
      </c>
      <c r="G80" s="21" t="n">
        <f aca="false">IF(G73&gt;0,G73-G78-G79,0)</f>
        <v>0</v>
      </c>
      <c r="H80" s="21" t="n">
        <f aca="false">IF(H73&gt;0,H73-H78-H79,0)</f>
        <v>0</v>
      </c>
      <c r="I80" s="21" t="n">
        <f aca="false">IF(I73&gt;0,I73-I78-I79,0)</f>
        <v>0</v>
      </c>
      <c r="J80" s="21" t="n">
        <f aca="false">IF(J73&gt;0,J73-J78-J79,0)</f>
        <v>0</v>
      </c>
      <c r="K80" s="21" t="n">
        <f aca="false">IF(K73&gt;0,K73-K78-K79,0)</f>
        <v>0</v>
      </c>
      <c r="L80" s="21" t="n">
        <f aca="false">IF(L73&gt;0,L73-L78-L79,0)</f>
        <v>0</v>
      </c>
    </row>
    <row r="81" customFormat="false" ht="15" hidden="false" customHeight="false" outlineLevel="0" collapsed="false">
      <c r="A81" s="7" t="s">
        <v>152</v>
      </c>
      <c r="B81" s="21" t="n">
        <f aca="false">0</f>
        <v>0</v>
      </c>
      <c r="C81" s="21" t="n">
        <f aca="false">B81+C78</f>
        <v>0</v>
      </c>
      <c r="D81" s="21" t="n">
        <f aca="false">C81+D78</f>
        <v>635156.832</v>
      </c>
      <c r="E81" s="21" t="n">
        <f aca="false">D81+E78</f>
        <v>1500945.98972</v>
      </c>
      <c r="F81" s="21" t="n">
        <f aca="false">E81+F78</f>
        <v>2901938.6149637</v>
      </c>
      <c r="G81" s="21" t="n">
        <f aca="false">F81+G78</f>
        <v>4522120.257071</v>
      </c>
      <c r="H81" s="21" t="n">
        <f aca="false">G81+H78</f>
        <v>6096388.69308818</v>
      </c>
      <c r="I81" s="21" t="n">
        <f aca="false">H81+I78</f>
        <v>7877279.0747981</v>
      </c>
      <c r="J81" s="21" t="n">
        <f aca="false">I81+J78</f>
        <v>9252370.16083527</v>
      </c>
      <c r="K81" s="21" t="n">
        <f aca="false">J81+K78</f>
        <v>11067837.7243265</v>
      </c>
      <c r="L81" s="21" t="n">
        <f aca="false">K81+L78</f>
        <v>23185435.6799916</v>
      </c>
    </row>
    <row r="82" customFormat="false" ht="15" hidden="false" customHeight="false" outlineLevel="0" collapsed="false">
      <c r="A82" s="7" t="s">
        <v>154</v>
      </c>
      <c r="B82" s="21" t="n">
        <f aca="false">0</f>
        <v>0</v>
      </c>
      <c r="C82" s="21" t="n">
        <f aca="false">1*MIN(C80,MAX(0,C81*CatchUp-B83))</f>
        <v>0</v>
      </c>
      <c r="D82" s="21" t="n">
        <f aca="false">1*MIN(D80,MAX(0,D81*CatchUp-C83))</f>
        <v>0</v>
      </c>
      <c r="E82" s="21" t="n">
        <f aca="false">1*MIN(E80,MAX(0,E81*CatchUp-D83))</f>
        <v>0</v>
      </c>
      <c r="F82" s="21" t="n">
        <f aca="false">1*MIN(F80,MAX(0,F81*CatchUp-E83))</f>
        <v>0</v>
      </c>
      <c r="G82" s="21" t="n">
        <f aca="false">1*MIN(G80,MAX(0,G81*CatchUp-F83))</f>
        <v>0</v>
      </c>
      <c r="H82" s="21" t="n">
        <f aca="false">1*MIN(H80,MAX(0,H81*CatchUp-G83))</f>
        <v>0</v>
      </c>
      <c r="I82" s="21" t="n">
        <f aca="false">1*MIN(I80,MAX(0,I81*CatchUp-H83))</f>
        <v>0</v>
      </c>
      <c r="J82" s="21" t="n">
        <f aca="false">1*MIN(J80,MAX(0,J81*CatchUp-I83))</f>
        <v>0</v>
      </c>
      <c r="K82" s="21" t="n">
        <f aca="false">1*MIN(K80,MAX(0,K81*CatchUp-J83))</f>
        <v>0</v>
      </c>
      <c r="L82" s="21" t="n">
        <f aca="false">1*MIN(L80,MAX(0,L81*CatchUp-K83))</f>
        <v>0</v>
      </c>
    </row>
    <row r="83" customFormat="false" ht="15" hidden="false" customHeight="false" outlineLevel="0" collapsed="false">
      <c r="A83" s="7" t="s">
        <v>156</v>
      </c>
      <c r="B83" s="21" t="n">
        <f aca="false">0</f>
        <v>0</v>
      </c>
      <c r="C83" s="21" t="n">
        <f aca="false">B83+C82+(C80-C82)*Promote</f>
        <v>0</v>
      </c>
      <c r="D83" s="21" t="n">
        <f aca="false">C83+D82+(D80-D82)*Promote</f>
        <v>0</v>
      </c>
      <c r="E83" s="21" t="n">
        <f aca="false">D83+E82+(E80-E82)*Promote</f>
        <v>0</v>
      </c>
      <c r="F83" s="21" t="n">
        <f aca="false">E83+F82+(F80-F82)*Promote</f>
        <v>0</v>
      </c>
      <c r="G83" s="21" t="n">
        <f aca="false">F83+G82+(G80-G82)*Promote</f>
        <v>0</v>
      </c>
      <c r="H83" s="21" t="n">
        <f aca="false">G83+H82+(H80-H82)*Promote</f>
        <v>0</v>
      </c>
      <c r="I83" s="21" t="n">
        <f aca="false">H83+I82+(I80-I82)*Promote</f>
        <v>0</v>
      </c>
      <c r="J83" s="21" t="n">
        <f aca="false">I83+J82+(J80-J82)*Promote</f>
        <v>0</v>
      </c>
      <c r="K83" s="21" t="n">
        <f aca="false">J83+K82+(K80-K82)*Promote</f>
        <v>0</v>
      </c>
      <c r="L83" s="21" t="n">
        <f aca="false">K83+L82+(L80-L82)*Promote</f>
        <v>0</v>
      </c>
    </row>
    <row r="84" customFormat="false" ht="15" hidden="false" customHeight="false" outlineLevel="0" collapsed="false">
      <c r="A84" s="7" t="s">
        <v>158</v>
      </c>
      <c r="B84" s="21" t="n">
        <f aca="false">-B73</f>
        <v>22973280</v>
      </c>
      <c r="C84" s="21" t="n">
        <f aca="false">C74-C79+C77</f>
        <v>23680287.292</v>
      </c>
      <c r="D84" s="21" t="n">
        <f aca="false">D74-D79+D77</f>
        <v>23680287.292</v>
      </c>
      <c r="E84" s="21" t="n">
        <f aca="false">E74-E79+E77</f>
        <v>23680287.292</v>
      </c>
      <c r="F84" s="21" t="n">
        <f aca="false">F74-F79+F77</f>
        <v>23680287.292</v>
      </c>
      <c r="G84" s="21" t="n">
        <f aca="false">G74-G79+G77</f>
        <v>23680287.292</v>
      </c>
      <c r="H84" s="21" t="n">
        <f aca="false">H74-H79+H77</f>
        <v>23680287.292</v>
      </c>
      <c r="I84" s="21" t="n">
        <f aca="false">I74-I79+I77</f>
        <v>23680287.292</v>
      </c>
      <c r="J84" s="21" t="n">
        <f aca="false">J74-J79+J77</f>
        <v>23680287.292</v>
      </c>
      <c r="K84" s="21" t="n">
        <f aca="false">K74-K79+K77</f>
        <v>23680287.292</v>
      </c>
      <c r="L84" s="21" t="n">
        <f aca="false">L74-L79+L77</f>
        <v>2917588.95799116</v>
      </c>
    </row>
    <row r="85" customFormat="false" ht="15" hidden="false" customHeight="false" outlineLevel="0" collapsed="false">
      <c r="A85" s="7" t="s">
        <v>159</v>
      </c>
      <c r="B85" s="21" t="n">
        <f aca="false">0</f>
        <v>0</v>
      </c>
      <c r="C85" s="21" t="n">
        <f aca="false">C75+C76-C78</f>
        <v>1837862.4</v>
      </c>
      <c r="D85" s="21" t="n">
        <f aca="false">D75+D76-D78</f>
        <v>3244157.54336</v>
      </c>
      <c r="E85" s="21" t="n">
        <f aca="false">E75+E76-E78</f>
        <v>4532323.9724688</v>
      </c>
      <c r="F85" s="21" t="n">
        <f aca="false">F75+F76-F78</f>
        <v>5388340.24838261</v>
      </c>
      <c r="G85" s="21" t="n">
        <f aca="false">G75+G76-G78</f>
        <v>6093648.80950591</v>
      </c>
      <c r="H85" s="21" t="n">
        <f aca="false">H75+H76-H78</f>
        <v>6901295.26160921</v>
      </c>
      <c r="I85" s="21" t="n">
        <f aca="false">I75+I76-I78</f>
        <v>7566931.48418803</v>
      </c>
      <c r="J85" s="21" t="n">
        <f aca="false">J75+J76-J78</f>
        <v>8691617.90024589</v>
      </c>
      <c r="K85" s="21" t="n">
        <f aca="false">K75+K76-K78</f>
        <v>9465902.75213438</v>
      </c>
      <c r="L85" s="21" t="n">
        <f aca="false">L75+L76-L78</f>
        <v>0</v>
      </c>
    </row>
    <row r="86" customFormat="false" ht="15" hidden="false" customHeight="false" outlineLevel="0" collapsed="false">
      <c r="A86" s="7" t="s">
        <v>157</v>
      </c>
      <c r="B86" s="21" t="n">
        <f aca="false">B73</f>
        <v>-22973280</v>
      </c>
      <c r="C86" s="21" t="n">
        <f aca="false">IF(C73&lt;0,C73,C78+C79+(C80-C82)*(1-Promote))</f>
        <v>-707007.292</v>
      </c>
      <c r="D86" s="21" t="n">
        <f aca="false">IF(D73&lt;0,D73,D78+D79+(D80-D82)*(1-Promote))</f>
        <v>635156.832</v>
      </c>
      <c r="E86" s="21" t="n">
        <f aca="false">IF(E73&lt;0,E73,E78+E79+(E80-E82)*(1-Promote))</f>
        <v>865789.15772</v>
      </c>
      <c r="F86" s="21" t="n">
        <f aca="false">IF(F73&lt;0,F73,F78+F79+(F80-F82)*(1-Promote))</f>
        <v>1400992.6252437</v>
      </c>
      <c r="G86" s="21" t="n">
        <f aca="false">IF(G73&lt;0,G73,G78+G79+(G80-G82)*(1-Promote))</f>
        <v>1620181.6421073</v>
      </c>
      <c r="H86" s="21" t="n">
        <f aca="false">IF(H73&lt;0,H73,H78+H79+(H80-H82)*(1-Promote))</f>
        <v>1574268.43601717</v>
      </c>
      <c r="I86" s="21" t="n">
        <f aca="false">IF(I73&lt;0,I73,I78+I79+(I80-I82)*(1-Promote))</f>
        <v>1780890.38170992</v>
      </c>
      <c r="J86" s="21" t="n">
        <f aca="false">IF(J73&lt;0,J73,J78+J79+(J80-J82)*(1-Promote))</f>
        <v>1375091.08603718</v>
      </c>
      <c r="K86" s="21" t="n">
        <f aca="false">IF(K73&lt;0,K73,K78+K79+(K80-K82)*(1-Promote))</f>
        <v>1815467.56349119</v>
      </c>
      <c r="L86" s="21" t="n">
        <f aca="false">IF(L73&lt;0,L73,L78+L79+(L80-L82)*(1-Promote))</f>
        <v>32880296.289674</v>
      </c>
    </row>
    <row r="88" customFormat="false" ht="15" hidden="false" customHeight="false" outlineLevel="0" collapsed="false">
      <c r="A88" s="11" t="s">
        <v>237</v>
      </c>
    </row>
    <row r="89" customFormat="false" ht="15" hidden="false" customHeight="false" outlineLevel="0" collapsed="false">
      <c r="A89" s="7" t="s">
        <v>144</v>
      </c>
      <c r="B89" s="21" t="n">
        <f aca="false">B8</f>
        <v>-22973280</v>
      </c>
      <c r="C89" s="21" t="n">
        <f aca="false">C8</f>
        <v>-707007.292</v>
      </c>
      <c r="D89" s="21" t="n">
        <f aca="false">D8</f>
        <v>635156.832</v>
      </c>
      <c r="E89" s="21" t="n">
        <f aca="false">E8</f>
        <v>865789.15772</v>
      </c>
      <c r="F89" s="21" t="n">
        <f aca="false">F8</f>
        <v>1400992.6252437</v>
      </c>
      <c r="G89" s="21" t="n">
        <f aca="false">G8</f>
        <v>1620181.6421073</v>
      </c>
      <c r="H89" s="21" t="n">
        <f aca="false">H8</f>
        <v>1574268.43601717</v>
      </c>
      <c r="I89" s="21" t="n">
        <f aca="false">I8</f>
        <v>1780890.38170992</v>
      </c>
      <c r="J89" s="21" t="n">
        <f aca="false">J8</f>
        <v>1375091.08603718</v>
      </c>
      <c r="K89" s="21" t="n">
        <f aca="false">K8</f>
        <v>1815467.56349119</v>
      </c>
      <c r="L89" s="21" t="n">
        <f aca="false">L8</f>
        <v>32880296.289674</v>
      </c>
    </row>
    <row r="90" customFormat="false" ht="15" hidden="false" customHeight="false" outlineLevel="0" collapsed="false">
      <c r="A90" s="7" t="s">
        <v>145</v>
      </c>
      <c r="B90" s="21" t="n">
        <f aca="false">0</f>
        <v>0</v>
      </c>
      <c r="C90" s="21" t="n">
        <f aca="false">B100</f>
        <v>22973280</v>
      </c>
      <c r="D90" s="21" t="n">
        <f aca="false">C100</f>
        <v>22973280</v>
      </c>
      <c r="E90" s="21" t="n">
        <f aca="false">D100</f>
        <v>22973280</v>
      </c>
      <c r="F90" s="21" t="n">
        <f aca="false">E100</f>
        <v>22973280</v>
      </c>
      <c r="G90" s="21" t="n">
        <f aca="false">F100</f>
        <v>22973280</v>
      </c>
      <c r="H90" s="21" t="n">
        <f aca="false">G100</f>
        <v>22973280</v>
      </c>
      <c r="I90" s="21" t="n">
        <f aca="false">H100</f>
        <v>22973280</v>
      </c>
      <c r="J90" s="21" t="n">
        <f aca="false">I100</f>
        <v>22973280</v>
      </c>
      <c r="K90" s="21" t="n">
        <f aca="false">J100</f>
        <v>22973280</v>
      </c>
      <c r="L90" s="21" t="n">
        <f aca="false">K100</f>
        <v>22973280</v>
      </c>
    </row>
    <row r="91" customFormat="false" ht="15" hidden="false" customHeight="false" outlineLevel="0" collapsed="false">
      <c r="A91" s="7" t="s">
        <v>146</v>
      </c>
      <c r="B91" s="21" t="n">
        <f aca="false">0</f>
        <v>0</v>
      </c>
      <c r="C91" s="21" t="n">
        <f aca="false">B101</f>
        <v>0</v>
      </c>
      <c r="D91" s="21" t="n">
        <f aca="false">C101</f>
        <v>1837862.4</v>
      </c>
      <c r="E91" s="21" t="n">
        <f aca="false">D101</f>
        <v>3187596.96</v>
      </c>
      <c r="F91" s="21" t="n">
        <f aca="false">E101</f>
        <v>4414677.95908</v>
      </c>
      <c r="G91" s="21" t="n">
        <f aca="false">F101</f>
        <v>5204721.9705627</v>
      </c>
      <c r="H91" s="21" t="n">
        <f aca="false">G101</f>
        <v>5838780.48610041</v>
      </c>
      <c r="I91" s="21" t="n">
        <f aca="false">H101</f>
        <v>6569476.88897127</v>
      </c>
      <c r="J91" s="21" t="n">
        <f aca="false">I101</f>
        <v>7152007.05837906</v>
      </c>
      <c r="K91" s="21" t="n">
        <f aca="false">J101</f>
        <v>8186938.9370122</v>
      </c>
      <c r="L91" s="21" t="n">
        <f aca="false">K101</f>
        <v>8864288.88848199</v>
      </c>
    </row>
    <row r="92" customFormat="false" ht="15" hidden="false" customHeight="false" outlineLevel="0" collapsed="false">
      <c r="A92" s="7" t="s">
        <v>147</v>
      </c>
      <c r="B92" s="21" t="n">
        <f aca="false">0</f>
        <v>0</v>
      </c>
      <c r="C92" s="21" t="n">
        <f aca="false">(C90+C91)*Pref</f>
        <v>1837862.4</v>
      </c>
      <c r="D92" s="21" t="n">
        <f aca="false">(D90+D91)*Pref</f>
        <v>1984891.392</v>
      </c>
      <c r="E92" s="21" t="n">
        <f aca="false">(E90+E91)*Pref</f>
        <v>2092870.1568</v>
      </c>
      <c r="F92" s="21" t="n">
        <f aca="false">(F90+F91)*Pref</f>
        <v>2191036.6367264</v>
      </c>
      <c r="G92" s="21" t="n">
        <f aca="false">(G90+G91)*Pref</f>
        <v>2254240.15764502</v>
      </c>
      <c r="H92" s="21" t="n">
        <f aca="false">(H90+H91)*Pref</f>
        <v>2304964.83888803</v>
      </c>
      <c r="I92" s="21" t="n">
        <f aca="false">(I90+I91)*Pref</f>
        <v>2363420.5511177</v>
      </c>
      <c r="J92" s="21" t="n">
        <f aca="false">(J90+J91)*Pref</f>
        <v>2410022.96467032</v>
      </c>
      <c r="K92" s="21" t="n">
        <f aca="false">(K90+K91)*Pref</f>
        <v>2492817.51496098</v>
      </c>
      <c r="L92" s="21" t="n">
        <f aca="false">(L90+L91)*Pref</f>
        <v>2547005.51107856</v>
      </c>
    </row>
    <row r="93" customFormat="false" ht="15" hidden="false" customHeight="false" outlineLevel="0" collapsed="false">
      <c r="A93" s="7" t="s">
        <v>148</v>
      </c>
      <c r="B93" s="21" t="n">
        <f aca="false">0</f>
        <v>0</v>
      </c>
      <c r="C93" s="21" t="n">
        <f aca="false">IF(C89&lt;0,-C89*0,0)</f>
        <v>0</v>
      </c>
      <c r="D93" s="21" t="n">
        <f aca="false">IF(D89&lt;0,-D89*0,0)</f>
        <v>0</v>
      </c>
      <c r="E93" s="21" t="n">
        <f aca="false">IF(E89&lt;0,-E89*0,0)</f>
        <v>0</v>
      </c>
      <c r="F93" s="21" t="n">
        <f aca="false">IF(F89&lt;0,-F89*0,0)</f>
        <v>0</v>
      </c>
      <c r="G93" s="21" t="n">
        <f aca="false">IF(G89&lt;0,-G89*0,0)</f>
        <v>0</v>
      </c>
      <c r="H93" s="21" t="n">
        <f aca="false">IF(H89&lt;0,-H89*0,0)</f>
        <v>0</v>
      </c>
      <c r="I93" s="21" t="n">
        <f aca="false">IF(I89&lt;0,-I89*0,0)</f>
        <v>0</v>
      </c>
      <c r="J93" s="21" t="n">
        <f aca="false">IF(J89&lt;0,-J89*0,0)</f>
        <v>0</v>
      </c>
      <c r="K93" s="21" t="n">
        <f aca="false">IF(K89&lt;0,-K89*0,0)</f>
        <v>0</v>
      </c>
      <c r="L93" s="21" t="n">
        <f aca="false">IF(L89&lt;0,-L89*0,0)</f>
        <v>0</v>
      </c>
    </row>
    <row r="94" customFormat="false" ht="15" hidden="false" customHeight="false" outlineLevel="0" collapsed="false">
      <c r="A94" s="7" t="s">
        <v>149</v>
      </c>
      <c r="B94" s="21" t="n">
        <f aca="false">0</f>
        <v>0</v>
      </c>
      <c r="C94" s="21" t="n">
        <f aca="false">IF(C89&gt;0,MIN(C89,C91+C92),0)</f>
        <v>0</v>
      </c>
      <c r="D94" s="21" t="n">
        <f aca="false">IF(D89&gt;0,MIN(D89,D91+D92),0)</f>
        <v>635156.832</v>
      </c>
      <c r="E94" s="21" t="n">
        <f aca="false">IF(E89&gt;0,MIN(E89,E91+E92),0)</f>
        <v>865789.15772</v>
      </c>
      <c r="F94" s="21" t="n">
        <f aca="false">IF(F89&gt;0,MIN(F89,F91+F92),0)</f>
        <v>1400992.6252437</v>
      </c>
      <c r="G94" s="21" t="n">
        <f aca="false">IF(G89&gt;0,MIN(G89,G91+G92),0)</f>
        <v>1620181.6421073</v>
      </c>
      <c r="H94" s="21" t="n">
        <f aca="false">IF(H89&gt;0,MIN(H89,H91+H92),0)</f>
        <v>1574268.43601717</v>
      </c>
      <c r="I94" s="21" t="n">
        <f aca="false">IF(I89&gt;0,MIN(I89,I91+I92),0)</f>
        <v>1780890.38170992</v>
      </c>
      <c r="J94" s="21" t="n">
        <f aca="false">IF(J89&gt;0,MIN(J89,J91+J92),0)</f>
        <v>1375091.08603718</v>
      </c>
      <c r="K94" s="21" t="n">
        <f aca="false">IF(K89&gt;0,MIN(K89,K91+K92),0)</f>
        <v>1815467.56349119</v>
      </c>
      <c r="L94" s="21" t="n">
        <f aca="false">IF(L89&gt;0,MIN(L89,L91+L92),0)</f>
        <v>11411294.3995606</v>
      </c>
    </row>
    <row r="95" customFormat="false" ht="15" hidden="false" customHeight="false" outlineLevel="0" collapsed="false">
      <c r="A95" s="7" t="s">
        <v>150</v>
      </c>
      <c r="B95" s="21" t="n">
        <f aca="false">0</f>
        <v>0</v>
      </c>
      <c r="C95" s="21" t="n">
        <f aca="false">IF(C89&gt;0,MIN(C89-C94,C90),0)</f>
        <v>0</v>
      </c>
      <c r="D95" s="21" t="n">
        <f aca="false">IF(D89&gt;0,MIN(D89-D94,D90),0)</f>
        <v>0</v>
      </c>
      <c r="E95" s="21" t="n">
        <f aca="false">IF(E89&gt;0,MIN(E89-E94,E90),0)</f>
        <v>0</v>
      </c>
      <c r="F95" s="21" t="n">
        <f aca="false">IF(F89&gt;0,MIN(F89-F94,F90),0)</f>
        <v>0</v>
      </c>
      <c r="G95" s="21" t="n">
        <f aca="false">IF(G89&gt;0,MIN(G89-G94,G90),0)</f>
        <v>0</v>
      </c>
      <c r="H95" s="21" t="n">
        <f aca="false">IF(H89&gt;0,MIN(H89-H94,H90),0)</f>
        <v>0</v>
      </c>
      <c r="I95" s="21" t="n">
        <f aca="false">IF(I89&gt;0,MIN(I89-I94,I90),0)</f>
        <v>0</v>
      </c>
      <c r="J95" s="21" t="n">
        <f aca="false">IF(J89&gt;0,MIN(J89-J94,J90),0)</f>
        <v>0</v>
      </c>
      <c r="K95" s="21" t="n">
        <f aca="false">IF(K89&gt;0,MIN(K89-K94,K90),0)</f>
        <v>0</v>
      </c>
      <c r="L95" s="21" t="n">
        <f aca="false">IF(L89&gt;0,MIN(L89-L94,L90),0)</f>
        <v>21469001.8901134</v>
      </c>
    </row>
    <row r="96" customFormat="false" ht="15" hidden="false" customHeight="false" outlineLevel="0" collapsed="false">
      <c r="A96" s="7" t="s">
        <v>151</v>
      </c>
      <c r="B96" s="21" t="n">
        <f aca="false">0</f>
        <v>0</v>
      </c>
      <c r="C96" s="21" t="n">
        <f aca="false">IF(C89&gt;0,C89-C94-C95,0)</f>
        <v>0</v>
      </c>
      <c r="D96" s="21" t="n">
        <f aca="false">IF(D89&gt;0,D89-D94-D95,0)</f>
        <v>0</v>
      </c>
      <c r="E96" s="21" t="n">
        <f aca="false">IF(E89&gt;0,E89-E94-E95,0)</f>
        <v>0</v>
      </c>
      <c r="F96" s="21" t="n">
        <f aca="false">IF(F89&gt;0,F89-F94-F95,0)</f>
        <v>0</v>
      </c>
      <c r="G96" s="21" t="n">
        <f aca="false">IF(G89&gt;0,G89-G94-G95,0)</f>
        <v>0</v>
      </c>
      <c r="H96" s="21" t="n">
        <f aca="false">IF(H89&gt;0,H89-H94-H95,0)</f>
        <v>0</v>
      </c>
      <c r="I96" s="21" t="n">
        <f aca="false">IF(I89&gt;0,I89-I94-I95,0)</f>
        <v>0</v>
      </c>
      <c r="J96" s="21" t="n">
        <f aca="false">IF(J89&gt;0,J89-J94-J95,0)</f>
        <v>0</v>
      </c>
      <c r="K96" s="21" t="n">
        <f aca="false">IF(K89&gt;0,K89-K94-K95,0)</f>
        <v>0</v>
      </c>
      <c r="L96" s="21" t="n">
        <f aca="false">IF(L89&gt;0,L89-L94-L95,0)</f>
        <v>0</v>
      </c>
    </row>
    <row r="97" customFormat="false" ht="15" hidden="false" customHeight="false" outlineLevel="0" collapsed="false">
      <c r="A97" s="7" t="s">
        <v>152</v>
      </c>
      <c r="B97" s="21" t="n">
        <f aca="false">0</f>
        <v>0</v>
      </c>
      <c r="C97" s="21" t="n">
        <f aca="false">B97+C94</f>
        <v>0</v>
      </c>
      <c r="D97" s="21" t="n">
        <f aca="false">C97+D94</f>
        <v>635156.832</v>
      </c>
      <c r="E97" s="21" t="n">
        <f aca="false">D97+E94</f>
        <v>1500945.98972</v>
      </c>
      <c r="F97" s="21" t="n">
        <f aca="false">E97+F94</f>
        <v>2901938.6149637</v>
      </c>
      <c r="G97" s="21" t="n">
        <f aca="false">F97+G94</f>
        <v>4522120.257071</v>
      </c>
      <c r="H97" s="21" t="n">
        <f aca="false">G97+H94</f>
        <v>6096388.69308818</v>
      </c>
      <c r="I97" s="21" t="n">
        <f aca="false">H97+I94</f>
        <v>7877279.0747981</v>
      </c>
      <c r="J97" s="21" t="n">
        <f aca="false">I97+J94</f>
        <v>9252370.16083527</v>
      </c>
      <c r="K97" s="21" t="n">
        <f aca="false">J97+K94</f>
        <v>11067837.7243265</v>
      </c>
      <c r="L97" s="21" t="n">
        <f aca="false">K97+L94</f>
        <v>22479132.123887</v>
      </c>
    </row>
    <row r="98" customFormat="false" ht="15" hidden="false" customHeight="false" outlineLevel="0" collapsed="false">
      <c r="A98" s="7" t="s">
        <v>154</v>
      </c>
      <c r="B98" s="21" t="n">
        <f aca="false">0</f>
        <v>0</v>
      </c>
      <c r="C98" s="21" t="n">
        <f aca="false">1*MIN(C96,MAX(0,C97*CatchUp-B99))</f>
        <v>0</v>
      </c>
      <c r="D98" s="21" t="n">
        <f aca="false">1*MIN(D96,MAX(0,D97*CatchUp-C99))</f>
        <v>0</v>
      </c>
      <c r="E98" s="21" t="n">
        <f aca="false">1*MIN(E96,MAX(0,E97*CatchUp-D99))</f>
        <v>0</v>
      </c>
      <c r="F98" s="21" t="n">
        <f aca="false">1*MIN(F96,MAX(0,F97*CatchUp-E99))</f>
        <v>0</v>
      </c>
      <c r="G98" s="21" t="n">
        <f aca="false">1*MIN(G96,MAX(0,G97*CatchUp-F99))</f>
        <v>0</v>
      </c>
      <c r="H98" s="21" t="n">
        <f aca="false">1*MIN(H96,MAX(0,H97*CatchUp-G99))</f>
        <v>0</v>
      </c>
      <c r="I98" s="21" t="n">
        <f aca="false">1*MIN(I96,MAX(0,I97*CatchUp-H99))</f>
        <v>0</v>
      </c>
      <c r="J98" s="21" t="n">
        <f aca="false">1*MIN(J96,MAX(0,J97*CatchUp-I99))</f>
        <v>0</v>
      </c>
      <c r="K98" s="21" t="n">
        <f aca="false">1*MIN(K96,MAX(0,K97*CatchUp-J99))</f>
        <v>0</v>
      </c>
      <c r="L98" s="21" t="n">
        <f aca="false">1*MIN(L96,MAX(0,L97*CatchUp-K99))</f>
        <v>0</v>
      </c>
    </row>
    <row r="99" customFormat="false" ht="15" hidden="false" customHeight="false" outlineLevel="0" collapsed="false">
      <c r="A99" s="7" t="s">
        <v>156</v>
      </c>
      <c r="B99" s="21" t="n">
        <f aca="false">0</f>
        <v>0</v>
      </c>
      <c r="C99" s="21" t="n">
        <f aca="false">B99+C98+(C96-C98)*Promote</f>
        <v>0</v>
      </c>
      <c r="D99" s="21" t="n">
        <f aca="false">C99+D98+(D96-D98)*Promote</f>
        <v>0</v>
      </c>
      <c r="E99" s="21" t="n">
        <f aca="false">D99+E98+(E96-E98)*Promote</f>
        <v>0</v>
      </c>
      <c r="F99" s="21" t="n">
        <f aca="false">E99+F98+(F96-F98)*Promote</f>
        <v>0</v>
      </c>
      <c r="G99" s="21" t="n">
        <f aca="false">F99+G98+(G96-G98)*Promote</f>
        <v>0</v>
      </c>
      <c r="H99" s="21" t="n">
        <f aca="false">G99+H98+(H96-H98)*Promote</f>
        <v>0</v>
      </c>
      <c r="I99" s="21" t="n">
        <f aca="false">H99+I98+(I96-I98)*Promote</f>
        <v>0</v>
      </c>
      <c r="J99" s="21" t="n">
        <f aca="false">I99+J98+(J96-J98)*Promote</f>
        <v>0</v>
      </c>
      <c r="K99" s="21" t="n">
        <f aca="false">J99+K98+(K96-K98)*Promote</f>
        <v>0</v>
      </c>
      <c r="L99" s="21" t="n">
        <f aca="false">K99+L98+(L96-L98)*Promote</f>
        <v>0</v>
      </c>
    </row>
    <row r="100" customFormat="false" ht="15" hidden="false" customHeight="false" outlineLevel="0" collapsed="false">
      <c r="A100" s="7" t="s">
        <v>158</v>
      </c>
      <c r="B100" s="21" t="n">
        <f aca="false">-B89</f>
        <v>22973280</v>
      </c>
      <c r="C100" s="21" t="n">
        <f aca="false">C90-C95+C93</f>
        <v>22973280</v>
      </c>
      <c r="D100" s="21" t="n">
        <f aca="false">D90-D95+D93</f>
        <v>22973280</v>
      </c>
      <c r="E100" s="21" t="n">
        <f aca="false">E90-E95+E93</f>
        <v>22973280</v>
      </c>
      <c r="F100" s="21" t="n">
        <f aca="false">F90-F95+F93</f>
        <v>22973280</v>
      </c>
      <c r="G100" s="21" t="n">
        <f aca="false">G90-G95+G93</f>
        <v>22973280</v>
      </c>
      <c r="H100" s="21" t="n">
        <f aca="false">H90-H95+H93</f>
        <v>22973280</v>
      </c>
      <c r="I100" s="21" t="n">
        <f aca="false">I90-I95+I93</f>
        <v>22973280</v>
      </c>
      <c r="J100" s="21" t="n">
        <f aca="false">J90-J95+J93</f>
        <v>22973280</v>
      </c>
      <c r="K100" s="21" t="n">
        <f aca="false">K90-K95+K93</f>
        <v>22973280</v>
      </c>
      <c r="L100" s="21" t="n">
        <f aca="false">L90-L95+L93</f>
        <v>1504278.10988659</v>
      </c>
    </row>
    <row r="101" customFormat="false" ht="15" hidden="false" customHeight="false" outlineLevel="0" collapsed="false">
      <c r="A101" s="7" t="s">
        <v>159</v>
      </c>
      <c r="B101" s="21" t="n">
        <f aca="false">0</f>
        <v>0</v>
      </c>
      <c r="C101" s="21" t="n">
        <f aca="false">C91+C92-C94</f>
        <v>1837862.4</v>
      </c>
      <c r="D101" s="21" t="n">
        <f aca="false">D91+D92-D94</f>
        <v>3187596.96</v>
      </c>
      <c r="E101" s="21" t="n">
        <f aca="false">E91+E92-E94</f>
        <v>4414677.95908</v>
      </c>
      <c r="F101" s="21" t="n">
        <f aca="false">F91+F92-F94</f>
        <v>5204721.9705627</v>
      </c>
      <c r="G101" s="21" t="n">
        <f aca="false">G91+G92-G94</f>
        <v>5838780.48610041</v>
      </c>
      <c r="H101" s="21" t="n">
        <f aca="false">H91+H92-H94</f>
        <v>6569476.88897127</v>
      </c>
      <c r="I101" s="21" t="n">
        <f aca="false">I91+I92-I94</f>
        <v>7152007.05837906</v>
      </c>
      <c r="J101" s="21" t="n">
        <f aca="false">J91+J92-J94</f>
        <v>8186938.9370122</v>
      </c>
      <c r="K101" s="21" t="n">
        <f aca="false">K91+K92-K94</f>
        <v>8864288.88848199</v>
      </c>
      <c r="L101" s="21" t="n">
        <f aca="false">L91+L92-L94</f>
        <v>0</v>
      </c>
    </row>
    <row r="102" customFormat="false" ht="15" hidden="false" customHeight="false" outlineLevel="0" collapsed="false">
      <c r="A102" s="7" t="s">
        <v>157</v>
      </c>
      <c r="B102" s="21" t="n">
        <f aca="false">B89</f>
        <v>-22973280</v>
      </c>
      <c r="C102" s="21" t="n">
        <f aca="false">IF(C89&lt;0,C89,C94+C95+(C96-C98)*(1-Promote))</f>
        <v>-707007.292</v>
      </c>
      <c r="D102" s="21" t="n">
        <f aca="false">IF(D89&lt;0,D89,D94+D95+(D96-D98)*(1-Promote))</f>
        <v>635156.832</v>
      </c>
      <c r="E102" s="21" t="n">
        <f aca="false">IF(E89&lt;0,E89,E94+E95+(E96-E98)*(1-Promote))</f>
        <v>865789.15772</v>
      </c>
      <c r="F102" s="21" t="n">
        <f aca="false">IF(F89&lt;0,F89,F94+F95+(F96-F98)*(1-Promote))</f>
        <v>1400992.6252437</v>
      </c>
      <c r="G102" s="21" t="n">
        <f aca="false">IF(G89&lt;0,G89,G94+G95+(G96-G98)*(1-Promote))</f>
        <v>1620181.6421073</v>
      </c>
      <c r="H102" s="21" t="n">
        <f aca="false">IF(H89&lt;0,H89,H94+H95+(H96-H98)*(1-Promote))</f>
        <v>1574268.43601717</v>
      </c>
      <c r="I102" s="21" t="n">
        <f aca="false">IF(I89&lt;0,I89,I94+I95+(I96-I98)*(1-Promote))</f>
        <v>1780890.38170992</v>
      </c>
      <c r="J102" s="21" t="n">
        <f aca="false">IF(J89&lt;0,J89,J94+J95+(J96-J98)*(1-Promote))</f>
        <v>1375091.08603718</v>
      </c>
      <c r="K102" s="21" t="n">
        <f aca="false">IF(K89&lt;0,K89,K94+K95+(K96-K98)*(1-Promote))</f>
        <v>1815467.56349119</v>
      </c>
      <c r="L102" s="21" t="n">
        <f aca="false">IF(L89&lt;0,L89,L94+L95+(L96-L98)*(1-Promote))</f>
        <v>32880296.289674</v>
      </c>
    </row>
    <row r="104" customFormat="false" ht="15" hidden="false" customHeight="false" outlineLevel="0" collapsed="false">
      <c r="A104" s="11" t="s">
        <v>238</v>
      </c>
    </row>
    <row r="105" customFormat="false" ht="15" hidden="false" customHeight="false" outlineLevel="0" collapsed="false">
      <c r="A105" s="7" t="s">
        <v>144</v>
      </c>
      <c r="B105" s="21" t="n">
        <f aca="false">B9</f>
        <v>-19056840</v>
      </c>
      <c r="C105" s="21" t="n">
        <f aca="false">C9</f>
        <v>-879267.292</v>
      </c>
      <c r="D105" s="21" t="n">
        <f aca="false">D9</f>
        <v>462896.832</v>
      </c>
      <c r="E105" s="21" t="n">
        <f aca="false">E9</f>
        <v>693529.15772</v>
      </c>
      <c r="F105" s="21" t="n">
        <f aca="false">F9</f>
        <v>1228732.6252437</v>
      </c>
      <c r="G105" s="21" t="n">
        <f aca="false">G9</f>
        <v>1447921.6421073</v>
      </c>
      <c r="H105" s="21" t="n">
        <f aca="false">H9</f>
        <v>1402008.43601717</v>
      </c>
      <c r="I105" s="21" t="n">
        <f aca="false">I9</f>
        <v>1608630.38170992</v>
      </c>
      <c r="J105" s="21" t="n">
        <f aca="false">J9</f>
        <v>1202831.08603718</v>
      </c>
      <c r="K105" s="21" t="n">
        <f aca="false">K9</f>
        <v>1643207.56349119</v>
      </c>
      <c r="L105" s="21" t="n">
        <f aca="false">L9</f>
        <v>28748036.289674</v>
      </c>
    </row>
    <row r="106" customFormat="false" ht="15" hidden="false" customHeight="false" outlineLevel="0" collapsed="false">
      <c r="A106" s="7" t="s">
        <v>145</v>
      </c>
      <c r="B106" s="21" t="n">
        <f aca="false">0</f>
        <v>0</v>
      </c>
      <c r="C106" s="21" t="n">
        <f aca="false">B116</f>
        <v>19056840</v>
      </c>
      <c r="D106" s="21" t="n">
        <f aca="false">C116</f>
        <v>19936107.292</v>
      </c>
      <c r="E106" s="21" t="n">
        <f aca="false">D116</f>
        <v>19936107.292</v>
      </c>
      <c r="F106" s="21" t="n">
        <f aca="false">E116</f>
        <v>19936107.292</v>
      </c>
      <c r="G106" s="21" t="n">
        <f aca="false">F116</f>
        <v>19936107.292</v>
      </c>
      <c r="H106" s="21" t="n">
        <f aca="false">G116</f>
        <v>19936107.292</v>
      </c>
      <c r="I106" s="21" t="n">
        <f aca="false">H116</f>
        <v>19936107.292</v>
      </c>
      <c r="J106" s="21" t="n">
        <f aca="false">I116</f>
        <v>19936107.292</v>
      </c>
      <c r="K106" s="21" t="n">
        <f aca="false">J116</f>
        <v>19936107.292</v>
      </c>
      <c r="L106" s="21" t="n">
        <f aca="false">K116</f>
        <v>19936107.292</v>
      </c>
    </row>
    <row r="107" customFormat="false" ht="15" hidden="false" customHeight="false" outlineLevel="0" collapsed="false">
      <c r="A107" s="7" t="s">
        <v>146</v>
      </c>
      <c r="B107" s="21" t="n">
        <f aca="false">0</f>
        <v>0</v>
      </c>
      <c r="C107" s="21" t="n">
        <f aca="false">B117</f>
        <v>0</v>
      </c>
      <c r="D107" s="21" t="n">
        <f aca="false">C117</f>
        <v>1524547.2</v>
      </c>
      <c r="E107" s="21" t="n">
        <f aca="false">D117</f>
        <v>2778502.72736</v>
      </c>
      <c r="F107" s="21" t="n">
        <f aca="false">E117</f>
        <v>3902142.3711888</v>
      </c>
      <c r="G107" s="21" t="n">
        <f aca="false">F117</f>
        <v>4580469.7190002</v>
      </c>
      <c r="H107" s="21" t="n">
        <f aca="false">G117</f>
        <v>5093874.23777292</v>
      </c>
      <c r="I107" s="21" t="n">
        <f aca="false">H117</f>
        <v>5694264.32413758</v>
      </c>
      <c r="J107" s="21" t="n">
        <f aca="false">I117</f>
        <v>6136063.67171866</v>
      </c>
      <c r="K107" s="21" t="n">
        <f aca="false">J117</f>
        <v>7019006.26277898</v>
      </c>
      <c r="L107" s="21" t="n">
        <f aca="false">K117</f>
        <v>7532207.78367011</v>
      </c>
    </row>
    <row r="108" customFormat="false" ht="15" hidden="false" customHeight="false" outlineLevel="0" collapsed="false">
      <c r="A108" s="7" t="s">
        <v>147</v>
      </c>
      <c r="B108" s="21" t="n">
        <f aca="false">0</f>
        <v>0</v>
      </c>
      <c r="C108" s="21" t="n">
        <f aca="false">(C106+C107)*Pref</f>
        <v>1524547.2</v>
      </c>
      <c r="D108" s="21" t="n">
        <f aca="false">(D106+D107)*Pref</f>
        <v>1716852.35936</v>
      </c>
      <c r="E108" s="21" t="n">
        <f aca="false">(E106+E107)*Pref</f>
        <v>1817168.8015488</v>
      </c>
      <c r="F108" s="21" t="n">
        <f aca="false">(F106+F107)*Pref</f>
        <v>1907059.9730551</v>
      </c>
      <c r="G108" s="21" t="n">
        <f aca="false">(G106+G107)*Pref</f>
        <v>1961326.16088002</v>
      </c>
      <c r="H108" s="21" t="n">
        <f aca="false">(H106+H107)*Pref</f>
        <v>2002398.52238183</v>
      </c>
      <c r="I108" s="21" t="n">
        <f aca="false">(I106+I107)*Pref</f>
        <v>2050429.72929101</v>
      </c>
      <c r="J108" s="21" t="n">
        <f aca="false">(J106+J107)*Pref</f>
        <v>2085773.67709749</v>
      </c>
      <c r="K108" s="21" t="n">
        <f aca="false">(K106+K107)*Pref</f>
        <v>2156409.08438232</v>
      </c>
      <c r="L108" s="21" t="n">
        <f aca="false">(L106+L107)*Pref</f>
        <v>2197465.20605361</v>
      </c>
    </row>
    <row r="109" customFormat="false" ht="15" hidden="false" customHeight="false" outlineLevel="0" collapsed="false">
      <c r="A109" s="7" t="s">
        <v>148</v>
      </c>
      <c r="B109" s="21" t="n">
        <f aca="false">0</f>
        <v>0</v>
      </c>
      <c r="C109" s="21" t="n">
        <f aca="false">IF(C105&lt;0,-C105*1,0)</f>
        <v>879267.292</v>
      </c>
      <c r="D109" s="21" t="n">
        <f aca="false">IF(D105&lt;0,-D105*1,0)</f>
        <v>0</v>
      </c>
      <c r="E109" s="21" t="n">
        <f aca="false">IF(E105&lt;0,-E105*1,0)</f>
        <v>0</v>
      </c>
      <c r="F109" s="21" t="n">
        <f aca="false">IF(F105&lt;0,-F105*1,0)</f>
        <v>0</v>
      </c>
      <c r="G109" s="21" t="n">
        <f aca="false">IF(G105&lt;0,-G105*1,0)</f>
        <v>0</v>
      </c>
      <c r="H109" s="21" t="n">
        <f aca="false">IF(H105&lt;0,-H105*1,0)</f>
        <v>0</v>
      </c>
      <c r="I109" s="21" t="n">
        <f aca="false">IF(I105&lt;0,-I105*1,0)</f>
        <v>0</v>
      </c>
      <c r="J109" s="21" t="n">
        <f aca="false">IF(J105&lt;0,-J105*1,0)</f>
        <v>0</v>
      </c>
      <c r="K109" s="21" t="n">
        <f aca="false">IF(K105&lt;0,-K105*1,0)</f>
        <v>0</v>
      </c>
      <c r="L109" s="21" t="n">
        <f aca="false">IF(L105&lt;0,-L105*1,0)</f>
        <v>0</v>
      </c>
    </row>
    <row r="110" customFormat="false" ht="15" hidden="false" customHeight="false" outlineLevel="0" collapsed="false">
      <c r="A110" s="7" t="s">
        <v>149</v>
      </c>
      <c r="B110" s="21" t="n">
        <f aca="false">0</f>
        <v>0</v>
      </c>
      <c r="C110" s="21" t="n">
        <f aca="false">IF(C105&gt;0,MIN(C105,C107+C108),0)</f>
        <v>0</v>
      </c>
      <c r="D110" s="21" t="n">
        <f aca="false">IF(D105&gt;0,MIN(D105,D107+D108),0)</f>
        <v>462896.832</v>
      </c>
      <c r="E110" s="21" t="n">
        <f aca="false">IF(E105&gt;0,MIN(E105,E107+E108),0)</f>
        <v>693529.15772</v>
      </c>
      <c r="F110" s="21" t="n">
        <f aca="false">IF(F105&gt;0,MIN(F105,F107+F108),0)</f>
        <v>1228732.6252437</v>
      </c>
      <c r="G110" s="21" t="n">
        <f aca="false">IF(G105&gt;0,MIN(G105,G107+G108),0)</f>
        <v>1447921.6421073</v>
      </c>
      <c r="H110" s="21" t="n">
        <f aca="false">IF(H105&gt;0,MIN(H105,H107+H108),0)</f>
        <v>1402008.43601717</v>
      </c>
      <c r="I110" s="21" t="n">
        <f aca="false">IF(I105&gt;0,MIN(I105,I107+I108),0)</f>
        <v>1608630.38170992</v>
      </c>
      <c r="J110" s="21" t="n">
        <f aca="false">IF(J105&gt;0,MIN(J105,J107+J108),0)</f>
        <v>1202831.08603718</v>
      </c>
      <c r="K110" s="21" t="n">
        <f aca="false">IF(K105&gt;0,MIN(K105,K107+K108),0)</f>
        <v>1643207.56349119</v>
      </c>
      <c r="L110" s="21" t="n">
        <f aca="false">IF(L105&gt;0,MIN(L105,L107+L108),0)</f>
        <v>9729672.98972372</v>
      </c>
    </row>
    <row r="111" customFormat="false" ht="15" hidden="false" customHeight="false" outlineLevel="0" collapsed="false">
      <c r="A111" s="7" t="s">
        <v>150</v>
      </c>
      <c r="B111" s="21" t="n">
        <f aca="false">0</f>
        <v>0</v>
      </c>
      <c r="C111" s="21" t="n">
        <f aca="false">IF(C105&gt;0,MIN(C105-C110,C106),0)</f>
        <v>0</v>
      </c>
      <c r="D111" s="21" t="n">
        <f aca="false">IF(D105&gt;0,MIN(D105-D110,D106),0)</f>
        <v>0</v>
      </c>
      <c r="E111" s="21" t="n">
        <f aca="false">IF(E105&gt;0,MIN(E105-E110,E106),0)</f>
        <v>0</v>
      </c>
      <c r="F111" s="21" t="n">
        <f aca="false">IF(F105&gt;0,MIN(F105-F110,F106),0)</f>
        <v>0</v>
      </c>
      <c r="G111" s="21" t="n">
        <f aca="false">IF(G105&gt;0,MIN(G105-G110,G106),0)</f>
        <v>0</v>
      </c>
      <c r="H111" s="21" t="n">
        <f aca="false">IF(H105&gt;0,MIN(H105-H110,H106),0)</f>
        <v>0</v>
      </c>
      <c r="I111" s="21" t="n">
        <f aca="false">IF(I105&gt;0,MIN(I105-I110,I106),0)</f>
        <v>0</v>
      </c>
      <c r="J111" s="21" t="n">
        <f aca="false">IF(J105&gt;0,MIN(J105-J110,J106),0)</f>
        <v>0</v>
      </c>
      <c r="K111" s="21" t="n">
        <f aca="false">IF(K105&gt;0,MIN(K105-K110,K106),0)</f>
        <v>0</v>
      </c>
      <c r="L111" s="21" t="n">
        <f aca="false">IF(L105&gt;0,MIN(L105-L110,L106),0)</f>
        <v>19018363.2999502</v>
      </c>
    </row>
    <row r="112" customFormat="false" ht="15" hidden="false" customHeight="false" outlineLevel="0" collapsed="false">
      <c r="A112" s="7" t="s">
        <v>151</v>
      </c>
      <c r="B112" s="21" t="n">
        <f aca="false">0</f>
        <v>0</v>
      </c>
      <c r="C112" s="21" t="n">
        <f aca="false">IF(C105&gt;0,C105-C110-C111,0)</f>
        <v>0</v>
      </c>
      <c r="D112" s="21" t="n">
        <f aca="false">IF(D105&gt;0,D105-D110-D111,0)</f>
        <v>0</v>
      </c>
      <c r="E112" s="21" t="n">
        <f aca="false">IF(E105&gt;0,E105-E110-E111,0)</f>
        <v>0</v>
      </c>
      <c r="F112" s="21" t="n">
        <f aca="false">IF(F105&gt;0,F105-F110-F111,0)</f>
        <v>0</v>
      </c>
      <c r="G112" s="21" t="n">
        <f aca="false">IF(G105&gt;0,G105-G110-G111,0)</f>
        <v>0</v>
      </c>
      <c r="H112" s="21" t="n">
        <f aca="false">IF(H105&gt;0,H105-H110-H111,0)</f>
        <v>0</v>
      </c>
      <c r="I112" s="21" t="n">
        <f aca="false">IF(I105&gt;0,I105-I110-I111,0)</f>
        <v>0</v>
      </c>
      <c r="J112" s="21" t="n">
        <f aca="false">IF(J105&gt;0,J105-J110-J111,0)</f>
        <v>0</v>
      </c>
      <c r="K112" s="21" t="n">
        <f aca="false">IF(K105&gt;0,K105-K110-K111,0)</f>
        <v>0</v>
      </c>
      <c r="L112" s="21" t="n">
        <f aca="false">IF(L105&gt;0,L105-L110-L111,0)</f>
        <v>0</v>
      </c>
    </row>
    <row r="113" customFormat="false" ht="15" hidden="false" customHeight="false" outlineLevel="0" collapsed="false">
      <c r="A113" s="7" t="s">
        <v>152</v>
      </c>
      <c r="B113" s="21" t="n">
        <f aca="false">0</f>
        <v>0</v>
      </c>
      <c r="C113" s="21" t="n">
        <f aca="false">B113+C110</f>
        <v>0</v>
      </c>
      <c r="D113" s="21" t="n">
        <f aca="false">C113+D110</f>
        <v>462896.832</v>
      </c>
      <c r="E113" s="21" t="n">
        <f aca="false">D113+E110</f>
        <v>1156425.98972</v>
      </c>
      <c r="F113" s="21" t="n">
        <f aca="false">E113+F110</f>
        <v>2385158.6149637</v>
      </c>
      <c r="G113" s="21" t="n">
        <f aca="false">F113+G110</f>
        <v>3833080.257071</v>
      </c>
      <c r="H113" s="21" t="n">
        <f aca="false">G113+H110</f>
        <v>5235088.69308818</v>
      </c>
      <c r="I113" s="21" t="n">
        <f aca="false">H113+I110</f>
        <v>6843719.0747981</v>
      </c>
      <c r="J113" s="21" t="n">
        <f aca="false">I113+J110</f>
        <v>8046550.16083527</v>
      </c>
      <c r="K113" s="21" t="n">
        <f aca="false">J113+K110</f>
        <v>9689757.72432646</v>
      </c>
      <c r="L113" s="21" t="n">
        <f aca="false">K113+L110</f>
        <v>19419430.7140502</v>
      </c>
    </row>
    <row r="114" customFormat="false" ht="15" hidden="false" customHeight="false" outlineLevel="0" collapsed="false">
      <c r="A114" s="7" t="s">
        <v>154</v>
      </c>
      <c r="B114" s="21" t="n">
        <f aca="false">0</f>
        <v>0</v>
      </c>
      <c r="C114" s="21" t="n">
        <f aca="false">1*MIN(C112,MAX(0,C113*CatchUp-B115))</f>
        <v>0</v>
      </c>
      <c r="D114" s="21" t="n">
        <f aca="false">1*MIN(D112,MAX(0,D113*CatchUp-C115))</f>
        <v>0</v>
      </c>
      <c r="E114" s="21" t="n">
        <f aca="false">1*MIN(E112,MAX(0,E113*CatchUp-D115))</f>
        <v>0</v>
      </c>
      <c r="F114" s="21" t="n">
        <f aca="false">1*MIN(F112,MAX(0,F113*CatchUp-E115))</f>
        <v>0</v>
      </c>
      <c r="G114" s="21" t="n">
        <f aca="false">1*MIN(G112,MAX(0,G113*CatchUp-F115))</f>
        <v>0</v>
      </c>
      <c r="H114" s="21" t="n">
        <f aca="false">1*MIN(H112,MAX(0,H113*CatchUp-G115))</f>
        <v>0</v>
      </c>
      <c r="I114" s="21" t="n">
        <f aca="false">1*MIN(I112,MAX(0,I113*CatchUp-H115))</f>
        <v>0</v>
      </c>
      <c r="J114" s="21" t="n">
        <f aca="false">1*MIN(J112,MAX(0,J113*CatchUp-I115))</f>
        <v>0</v>
      </c>
      <c r="K114" s="21" t="n">
        <f aca="false">1*MIN(K112,MAX(0,K113*CatchUp-J115))</f>
        <v>0</v>
      </c>
      <c r="L114" s="21" t="n">
        <f aca="false">1*MIN(L112,MAX(0,L113*CatchUp-K115))</f>
        <v>0</v>
      </c>
    </row>
    <row r="115" customFormat="false" ht="15" hidden="false" customHeight="false" outlineLevel="0" collapsed="false">
      <c r="A115" s="7" t="s">
        <v>156</v>
      </c>
      <c r="B115" s="21" t="n">
        <f aca="false">0</f>
        <v>0</v>
      </c>
      <c r="C115" s="21" t="n">
        <f aca="false">B115+C114+(C112-C114)*Promote</f>
        <v>0</v>
      </c>
      <c r="D115" s="21" t="n">
        <f aca="false">C115+D114+(D112-D114)*Promote</f>
        <v>0</v>
      </c>
      <c r="E115" s="21" t="n">
        <f aca="false">D115+E114+(E112-E114)*Promote</f>
        <v>0</v>
      </c>
      <c r="F115" s="21" t="n">
        <f aca="false">E115+F114+(F112-F114)*Promote</f>
        <v>0</v>
      </c>
      <c r="G115" s="21" t="n">
        <f aca="false">F115+G114+(G112-G114)*Promote</f>
        <v>0</v>
      </c>
      <c r="H115" s="21" t="n">
        <f aca="false">G115+H114+(H112-H114)*Promote</f>
        <v>0</v>
      </c>
      <c r="I115" s="21" t="n">
        <f aca="false">H115+I114+(I112-I114)*Promote</f>
        <v>0</v>
      </c>
      <c r="J115" s="21" t="n">
        <f aca="false">I115+J114+(J112-J114)*Promote</f>
        <v>0</v>
      </c>
      <c r="K115" s="21" t="n">
        <f aca="false">J115+K114+(K112-K114)*Promote</f>
        <v>0</v>
      </c>
      <c r="L115" s="21" t="n">
        <f aca="false">K115+L114+(L112-L114)*Promote</f>
        <v>0</v>
      </c>
    </row>
    <row r="116" customFormat="false" ht="15" hidden="false" customHeight="false" outlineLevel="0" collapsed="false">
      <c r="A116" s="7" t="s">
        <v>158</v>
      </c>
      <c r="B116" s="21" t="n">
        <f aca="false">-B105</f>
        <v>19056840</v>
      </c>
      <c r="C116" s="21" t="n">
        <f aca="false">C106-C111+C109</f>
        <v>19936107.292</v>
      </c>
      <c r="D116" s="21" t="n">
        <f aca="false">D106-D111+D109</f>
        <v>19936107.292</v>
      </c>
      <c r="E116" s="21" t="n">
        <f aca="false">E106-E111+E109</f>
        <v>19936107.292</v>
      </c>
      <c r="F116" s="21" t="n">
        <f aca="false">F106-F111+F109</f>
        <v>19936107.292</v>
      </c>
      <c r="G116" s="21" t="n">
        <f aca="false">G106-G111+G109</f>
        <v>19936107.292</v>
      </c>
      <c r="H116" s="21" t="n">
        <f aca="false">H106-H111+H109</f>
        <v>19936107.292</v>
      </c>
      <c r="I116" s="21" t="n">
        <f aca="false">I106-I111+I109</f>
        <v>19936107.292</v>
      </c>
      <c r="J116" s="21" t="n">
        <f aca="false">J106-J111+J109</f>
        <v>19936107.292</v>
      </c>
      <c r="K116" s="21" t="n">
        <f aca="false">K106-K111+K109</f>
        <v>19936107.292</v>
      </c>
      <c r="L116" s="21" t="n">
        <f aca="false">L106-L111+L109</f>
        <v>917743.992049757</v>
      </c>
    </row>
    <row r="117" customFormat="false" ht="15" hidden="false" customHeight="false" outlineLevel="0" collapsed="false">
      <c r="A117" s="7" t="s">
        <v>159</v>
      </c>
      <c r="B117" s="21" t="n">
        <f aca="false">0</f>
        <v>0</v>
      </c>
      <c r="C117" s="21" t="n">
        <f aca="false">C107+C108-C110</f>
        <v>1524547.2</v>
      </c>
      <c r="D117" s="21" t="n">
        <f aca="false">D107+D108-D110</f>
        <v>2778502.72736</v>
      </c>
      <c r="E117" s="21" t="n">
        <f aca="false">E107+E108-E110</f>
        <v>3902142.3711888</v>
      </c>
      <c r="F117" s="21" t="n">
        <f aca="false">F107+F108-F110</f>
        <v>4580469.7190002</v>
      </c>
      <c r="G117" s="21" t="n">
        <f aca="false">G107+G108-G110</f>
        <v>5093874.23777292</v>
      </c>
      <c r="H117" s="21" t="n">
        <f aca="false">H107+H108-H110</f>
        <v>5694264.32413758</v>
      </c>
      <c r="I117" s="21" t="n">
        <f aca="false">I107+I108-I110</f>
        <v>6136063.67171866</v>
      </c>
      <c r="J117" s="21" t="n">
        <f aca="false">J107+J108-J110</f>
        <v>7019006.26277898</v>
      </c>
      <c r="K117" s="21" t="n">
        <f aca="false">K107+K108-K110</f>
        <v>7532207.78367011</v>
      </c>
      <c r="L117" s="21" t="n">
        <f aca="false">L107+L108-L110</f>
        <v>0</v>
      </c>
    </row>
    <row r="118" customFormat="false" ht="15" hidden="false" customHeight="false" outlineLevel="0" collapsed="false">
      <c r="A118" s="7" t="s">
        <v>157</v>
      </c>
      <c r="B118" s="21" t="n">
        <f aca="false">B105</f>
        <v>-19056840</v>
      </c>
      <c r="C118" s="21" t="n">
        <f aca="false">IF(C105&lt;0,C105,C110+C111+(C112-C114)*(1-Promote))</f>
        <v>-879267.292</v>
      </c>
      <c r="D118" s="21" t="n">
        <f aca="false">IF(D105&lt;0,D105,D110+D111+(D112-D114)*(1-Promote))</f>
        <v>462896.832</v>
      </c>
      <c r="E118" s="21" t="n">
        <f aca="false">IF(E105&lt;0,E105,E110+E111+(E112-E114)*(1-Promote))</f>
        <v>693529.15772</v>
      </c>
      <c r="F118" s="21" t="n">
        <f aca="false">IF(F105&lt;0,F105,F110+F111+(F112-F114)*(1-Promote))</f>
        <v>1228732.6252437</v>
      </c>
      <c r="G118" s="21" t="n">
        <f aca="false">IF(G105&lt;0,G105,G110+G111+(G112-G114)*(1-Promote))</f>
        <v>1447921.6421073</v>
      </c>
      <c r="H118" s="21" t="n">
        <f aca="false">IF(H105&lt;0,H105,H110+H111+(H112-H114)*(1-Promote))</f>
        <v>1402008.43601717</v>
      </c>
      <c r="I118" s="21" t="n">
        <f aca="false">IF(I105&lt;0,I105,I110+I111+(I112-I114)*(1-Promote))</f>
        <v>1608630.38170992</v>
      </c>
      <c r="J118" s="21" t="n">
        <f aca="false">IF(J105&lt;0,J105,J110+J111+(J112-J114)*(1-Promote))</f>
        <v>1202831.08603718</v>
      </c>
      <c r="K118" s="21" t="n">
        <f aca="false">IF(K105&lt;0,K105,K110+K111+(K112-K114)*(1-Promote))</f>
        <v>1643207.56349119</v>
      </c>
      <c r="L118" s="21" t="n">
        <f aca="false">IF(L105&lt;0,L105,L110+L111+(L112-L114)*(1-Promote))</f>
        <v>28748036.289674</v>
      </c>
    </row>
    <row r="120" customFormat="false" ht="15" hidden="false" customHeight="false" outlineLevel="0" collapsed="false">
      <c r="A120" s="11" t="s">
        <v>239</v>
      </c>
    </row>
    <row r="121" customFormat="false" ht="15" hidden="false" customHeight="false" outlineLevel="0" collapsed="false">
      <c r="A121" s="7" t="s">
        <v>144</v>
      </c>
      <c r="B121" s="21" t="n">
        <f aca="false">B9</f>
        <v>-19056840</v>
      </c>
      <c r="C121" s="21" t="n">
        <f aca="false">C9</f>
        <v>-879267.292</v>
      </c>
      <c r="D121" s="21" t="n">
        <f aca="false">D9</f>
        <v>462896.832</v>
      </c>
      <c r="E121" s="21" t="n">
        <f aca="false">E9</f>
        <v>693529.15772</v>
      </c>
      <c r="F121" s="21" t="n">
        <f aca="false">F9</f>
        <v>1228732.6252437</v>
      </c>
      <c r="G121" s="21" t="n">
        <f aca="false">G9</f>
        <v>1447921.6421073</v>
      </c>
      <c r="H121" s="21" t="n">
        <f aca="false">H9</f>
        <v>1402008.43601717</v>
      </c>
      <c r="I121" s="21" t="n">
        <f aca="false">I9</f>
        <v>1608630.38170992</v>
      </c>
      <c r="J121" s="21" t="n">
        <f aca="false">J9</f>
        <v>1202831.08603718</v>
      </c>
      <c r="K121" s="21" t="n">
        <f aca="false">K9</f>
        <v>1643207.56349119</v>
      </c>
      <c r="L121" s="21" t="n">
        <f aca="false">L9</f>
        <v>28748036.289674</v>
      </c>
    </row>
    <row r="122" customFormat="false" ht="15" hidden="false" customHeight="false" outlineLevel="0" collapsed="false">
      <c r="A122" s="7" t="s">
        <v>145</v>
      </c>
      <c r="B122" s="21" t="n">
        <f aca="false">0</f>
        <v>0</v>
      </c>
      <c r="C122" s="21" t="n">
        <f aca="false">B132</f>
        <v>19056840</v>
      </c>
      <c r="D122" s="21" t="n">
        <f aca="false">C132</f>
        <v>19056840</v>
      </c>
      <c r="E122" s="21" t="n">
        <f aca="false">D132</f>
        <v>19056840</v>
      </c>
      <c r="F122" s="21" t="n">
        <f aca="false">E132</f>
        <v>19056840</v>
      </c>
      <c r="G122" s="21" t="n">
        <f aca="false">F132</f>
        <v>19056840</v>
      </c>
      <c r="H122" s="21" t="n">
        <f aca="false">G132</f>
        <v>19056840</v>
      </c>
      <c r="I122" s="21" t="n">
        <f aca="false">H132</f>
        <v>19056840</v>
      </c>
      <c r="J122" s="21" t="n">
        <f aca="false">I132</f>
        <v>19056840</v>
      </c>
      <c r="K122" s="21" t="n">
        <f aca="false">J132</f>
        <v>19056840</v>
      </c>
      <c r="L122" s="21" t="n">
        <f aca="false">K132</f>
        <v>19056840</v>
      </c>
    </row>
    <row r="123" customFormat="false" ht="15" hidden="false" customHeight="false" outlineLevel="0" collapsed="false">
      <c r="A123" s="7" t="s">
        <v>146</v>
      </c>
      <c r="B123" s="21" t="n">
        <f aca="false">0</f>
        <v>0</v>
      </c>
      <c r="C123" s="21" t="n">
        <f aca="false">B133</f>
        <v>0</v>
      </c>
      <c r="D123" s="21" t="n">
        <f aca="false">C133</f>
        <v>1524547.2</v>
      </c>
      <c r="E123" s="21" t="n">
        <f aca="false">D133</f>
        <v>2708161.344</v>
      </c>
      <c r="F123" s="21" t="n">
        <f aca="false">E133</f>
        <v>3755832.2938</v>
      </c>
      <c r="G123" s="21" t="n">
        <f aca="false">F133</f>
        <v>4352113.4520603</v>
      </c>
      <c r="H123" s="21" t="n">
        <f aca="false">G133</f>
        <v>4776908.08611782</v>
      </c>
      <c r="I123" s="21" t="n">
        <f aca="false">H133</f>
        <v>5281599.49699007</v>
      </c>
      <c r="J123" s="21" t="n">
        <f aca="false">I133</f>
        <v>5620044.27503936</v>
      </c>
      <c r="K123" s="21" t="n">
        <f aca="false">J133</f>
        <v>6391363.93100533</v>
      </c>
      <c r="L123" s="21" t="n">
        <f aca="false">K133</f>
        <v>6784012.68199457</v>
      </c>
    </row>
    <row r="124" customFormat="false" ht="15" hidden="false" customHeight="false" outlineLevel="0" collapsed="false">
      <c r="A124" s="7" t="s">
        <v>147</v>
      </c>
      <c r="B124" s="21" t="n">
        <f aca="false">0</f>
        <v>0</v>
      </c>
      <c r="C124" s="21" t="n">
        <f aca="false">(C122+C123)*Pref</f>
        <v>1524547.2</v>
      </c>
      <c r="D124" s="21" t="n">
        <f aca="false">(D122+D123)*Pref</f>
        <v>1646510.976</v>
      </c>
      <c r="E124" s="21" t="n">
        <f aca="false">(E122+E123)*Pref</f>
        <v>1741200.10752</v>
      </c>
      <c r="F124" s="21" t="n">
        <f aca="false">(F122+F123)*Pref</f>
        <v>1825013.783504</v>
      </c>
      <c r="G124" s="21" t="n">
        <f aca="false">(G122+G123)*Pref</f>
        <v>1872716.27616482</v>
      </c>
      <c r="H124" s="21" t="n">
        <f aca="false">(H122+H123)*Pref</f>
        <v>1906699.84688943</v>
      </c>
      <c r="I124" s="21" t="n">
        <f aca="false">(I122+I123)*Pref</f>
        <v>1947075.15975921</v>
      </c>
      <c r="J124" s="21" t="n">
        <f aca="false">(J122+J123)*Pref</f>
        <v>1974150.74200315</v>
      </c>
      <c r="K124" s="21" t="n">
        <f aca="false">(K122+K123)*Pref</f>
        <v>2035856.31448043</v>
      </c>
      <c r="L124" s="21" t="n">
        <f aca="false">(L122+L123)*Pref</f>
        <v>2067268.21455957</v>
      </c>
    </row>
    <row r="125" customFormat="false" ht="15" hidden="false" customHeight="false" outlineLevel="0" collapsed="false">
      <c r="A125" s="7" t="s">
        <v>148</v>
      </c>
      <c r="B125" s="21" t="n">
        <f aca="false">0</f>
        <v>0</v>
      </c>
      <c r="C125" s="21" t="n">
        <f aca="false">IF(C121&lt;0,-C121*0,0)</f>
        <v>0</v>
      </c>
      <c r="D125" s="21" t="n">
        <f aca="false">IF(D121&lt;0,-D121*0,0)</f>
        <v>0</v>
      </c>
      <c r="E125" s="21" t="n">
        <f aca="false">IF(E121&lt;0,-E121*0,0)</f>
        <v>0</v>
      </c>
      <c r="F125" s="21" t="n">
        <f aca="false">IF(F121&lt;0,-F121*0,0)</f>
        <v>0</v>
      </c>
      <c r="G125" s="21" t="n">
        <f aca="false">IF(G121&lt;0,-G121*0,0)</f>
        <v>0</v>
      </c>
      <c r="H125" s="21" t="n">
        <f aca="false">IF(H121&lt;0,-H121*0,0)</f>
        <v>0</v>
      </c>
      <c r="I125" s="21" t="n">
        <f aca="false">IF(I121&lt;0,-I121*0,0)</f>
        <v>0</v>
      </c>
      <c r="J125" s="21" t="n">
        <f aca="false">IF(J121&lt;0,-J121*0,0)</f>
        <v>0</v>
      </c>
      <c r="K125" s="21" t="n">
        <f aca="false">IF(K121&lt;0,-K121*0,0)</f>
        <v>0</v>
      </c>
      <c r="L125" s="21" t="n">
        <f aca="false">IF(L121&lt;0,-L121*0,0)</f>
        <v>0</v>
      </c>
    </row>
    <row r="126" customFormat="false" ht="15" hidden="false" customHeight="false" outlineLevel="0" collapsed="false">
      <c r="A126" s="7" t="s">
        <v>149</v>
      </c>
      <c r="B126" s="21" t="n">
        <f aca="false">0</f>
        <v>0</v>
      </c>
      <c r="C126" s="21" t="n">
        <f aca="false">IF(C121&gt;0,MIN(C121,C123+C124),0)</f>
        <v>0</v>
      </c>
      <c r="D126" s="21" t="n">
        <f aca="false">IF(D121&gt;0,MIN(D121,D123+D124),0)</f>
        <v>462896.832</v>
      </c>
      <c r="E126" s="21" t="n">
        <f aca="false">IF(E121&gt;0,MIN(E121,E123+E124),0)</f>
        <v>693529.15772</v>
      </c>
      <c r="F126" s="21" t="n">
        <f aca="false">IF(F121&gt;0,MIN(F121,F123+F124),0)</f>
        <v>1228732.6252437</v>
      </c>
      <c r="G126" s="21" t="n">
        <f aca="false">IF(G121&gt;0,MIN(G121,G123+G124),0)</f>
        <v>1447921.6421073</v>
      </c>
      <c r="H126" s="21" t="n">
        <f aca="false">IF(H121&gt;0,MIN(H121,H123+H124),0)</f>
        <v>1402008.43601717</v>
      </c>
      <c r="I126" s="21" t="n">
        <f aca="false">IF(I121&gt;0,MIN(I121,I123+I124),0)</f>
        <v>1608630.38170992</v>
      </c>
      <c r="J126" s="21" t="n">
        <f aca="false">IF(J121&gt;0,MIN(J121,J123+J124),0)</f>
        <v>1202831.08603718</v>
      </c>
      <c r="K126" s="21" t="n">
        <f aca="false">IF(K121&gt;0,MIN(K121,K123+K124),0)</f>
        <v>1643207.56349119</v>
      </c>
      <c r="L126" s="21" t="n">
        <f aca="false">IF(L121&gt;0,MIN(L121,L123+L124),0)</f>
        <v>8851280.89655414</v>
      </c>
    </row>
    <row r="127" customFormat="false" ht="15" hidden="false" customHeight="false" outlineLevel="0" collapsed="false">
      <c r="A127" s="7" t="s">
        <v>150</v>
      </c>
      <c r="B127" s="21" t="n">
        <f aca="false">0</f>
        <v>0</v>
      </c>
      <c r="C127" s="21" t="n">
        <f aca="false">IF(C121&gt;0,MIN(C121-C126,C122),0)</f>
        <v>0</v>
      </c>
      <c r="D127" s="21" t="n">
        <f aca="false">IF(D121&gt;0,MIN(D121-D126,D122),0)</f>
        <v>0</v>
      </c>
      <c r="E127" s="21" t="n">
        <f aca="false">IF(E121&gt;0,MIN(E121-E126,E122),0)</f>
        <v>0</v>
      </c>
      <c r="F127" s="21" t="n">
        <f aca="false">IF(F121&gt;0,MIN(F121-F126,F122),0)</f>
        <v>0</v>
      </c>
      <c r="G127" s="21" t="n">
        <f aca="false">IF(G121&gt;0,MIN(G121-G126,G122),0)</f>
        <v>0</v>
      </c>
      <c r="H127" s="21" t="n">
        <f aca="false">IF(H121&gt;0,MIN(H121-H126,H122),0)</f>
        <v>0</v>
      </c>
      <c r="I127" s="21" t="n">
        <f aca="false">IF(I121&gt;0,MIN(I121-I126,I122),0)</f>
        <v>0</v>
      </c>
      <c r="J127" s="21" t="n">
        <f aca="false">IF(J121&gt;0,MIN(J121-J126,J122),0)</f>
        <v>0</v>
      </c>
      <c r="K127" s="21" t="n">
        <f aca="false">IF(K121&gt;0,MIN(K121-K126,K122),0)</f>
        <v>0</v>
      </c>
      <c r="L127" s="21" t="n">
        <f aca="false">IF(L121&gt;0,MIN(L121-L126,L122),0)</f>
        <v>19056840</v>
      </c>
    </row>
    <row r="128" customFormat="false" ht="15" hidden="false" customHeight="false" outlineLevel="0" collapsed="false">
      <c r="A128" s="7" t="s">
        <v>151</v>
      </c>
      <c r="B128" s="21" t="n">
        <f aca="false">0</f>
        <v>0</v>
      </c>
      <c r="C128" s="21" t="n">
        <f aca="false">IF(C121&gt;0,C121-C126-C127,0)</f>
        <v>0</v>
      </c>
      <c r="D128" s="21" t="n">
        <f aca="false">IF(D121&gt;0,D121-D126-D127,0)</f>
        <v>0</v>
      </c>
      <c r="E128" s="21" t="n">
        <f aca="false">IF(E121&gt;0,E121-E126-E127,0)</f>
        <v>0</v>
      </c>
      <c r="F128" s="21" t="n">
        <f aca="false">IF(F121&gt;0,F121-F126-F127,0)</f>
        <v>0</v>
      </c>
      <c r="G128" s="21" t="n">
        <f aca="false">IF(G121&gt;0,G121-G126-G127,0)</f>
        <v>0</v>
      </c>
      <c r="H128" s="21" t="n">
        <f aca="false">IF(H121&gt;0,H121-H126-H127,0)</f>
        <v>0</v>
      </c>
      <c r="I128" s="21" t="n">
        <f aca="false">IF(I121&gt;0,I121-I126-I127,0)</f>
        <v>0</v>
      </c>
      <c r="J128" s="21" t="n">
        <f aca="false">IF(J121&gt;0,J121-J126-J127,0)</f>
        <v>0</v>
      </c>
      <c r="K128" s="21" t="n">
        <f aca="false">IF(K121&gt;0,K121-K126-K127,0)</f>
        <v>0</v>
      </c>
      <c r="L128" s="21" t="n">
        <f aca="false">IF(L121&gt;0,L121-L126-L127,0)</f>
        <v>839915.393119827</v>
      </c>
    </row>
    <row r="129" customFormat="false" ht="15" hidden="false" customHeight="false" outlineLevel="0" collapsed="false">
      <c r="A129" s="7" t="s">
        <v>152</v>
      </c>
      <c r="B129" s="21" t="n">
        <f aca="false">0</f>
        <v>0</v>
      </c>
      <c r="C129" s="21" t="n">
        <f aca="false">B129+C126</f>
        <v>0</v>
      </c>
      <c r="D129" s="21" t="n">
        <f aca="false">C129+D126</f>
        <v>462896.832</v>
      </c>
      <c r="E129" s="21" t="n">
        <f aca="false">D129+E126</f>
        <v>1156425.98972</v>
      </c>
      <c r="F129" s="21" t="n">
        <f aca="false">E129+F126</f>
        <v>2385158.6149637</v>
      </c>
      <c r="G129" s="21" t="n">
        <f aca="false">F129+G126</f>
        <v>3833080.257071</v>
      </c>
      <c r="H129" s="21" t="n">
        <f aca="false">G129+H126</f>
        <v>5235088.69308818</v>
      </c>
      <c r="I129" s="21" t="n">
        <f aca="false">H129+I126</f>
        <v>6843719.0747981</v>
      </c>
      <c r="J129" s="21" t="n">
        <f aca="false">I129+J126</f>
        <v>8046550.16083527</v>
      </c>
      <c r="K129" s="21" t="n">
        <f aca="false">J129+K126</f>
        <v>9689757.72432646</v>
      </c>
      <c r="L129" s="21" t="n">
        <f aca="false">K129+L126</f>
        <v>18541038.6208806</v>
      </c>
    </row>
    <row r="130" customFormat="false" ht="15" hidden="false" customHeight="false" outlineLevel="0" collapsed="false">
      <c r="A130" s="7" t="s">
        <v>154</v>
      </c>
      <c r="B130" s="21" t="n">
        <f aca="false">0</f>
        <v>0</v>
      </c>
      <c r="C130" s="21" t="n">
        <f aca="false">1*MIN(C128,MAX(0,C129*CatchUp-B131))</f>
        <v>0</v>
      </c>
      <c r="D130" s="21" t="n">
        <f aca="false">1*MIN(D128,MAX(0,D129*CatchUp-C131))</f>
        <v>0</v>
      </c>
      <c r="E130" s="21" t="n">
        <f aca="false">1*MIN(E128,MAX(0,E129*CatchUp-D131))</f>
        <v>0</v>
      </c>
      <c r="F130" s="21" t="n">
        <f aca="false">1*MIN(F128,MAX(0,F129*CatchUp-E131))</f>
        <v>0</v>
      </c>
      <c r="G130" s="21" t="n">
        <f aca="false">1*MIN(G128,MAX(0,G129*CatchUp-F131))</f>
        <v>0</v>
      </c>
      <c r="H130" s="21" t="n">
        <f aca="false">1*MIN(H128,MAX(0,H129*CatchUp-G131))</f>
        <v>0</v>
      </c>
      <c r="I130" s="21" t="n">
        <f aca="false">1*MIN(I128,MAX(0,I129*CatchUp-H131))</f>
        <v>0</v>
      </c>
      <c r="J130" s="21" t="n">
        <f aca="false">1*MIN(J128,MAX(0,J129*CatchUp-I131))</f>
        <v>0</v>
      </c>
      <c r="K130" s="21" t="n">
        <f aca="false">1*MIN(K128,MAX(0,K129*CatchUp-J131))</f>
        <v>0</v>
      </c>
      <c r="L130" s="21" t="n">
        <f aca="false">1*MIN(L128,MAX(0,L129*CatchUp-K131))</f>
        <v>839915.393119827</v>
      </c>
    </row>
    <row r="131" customFormat="false" ht="15" hidden="false" customHeight="false" outlineLevel="0" collapsed="false">
      <c r="A131" s="7" t="s">
        <v>156</v>
      </c>
      <c r="B131" s="21" t="n">
        <f aca="false">0</f>
        <v>0</v>
      </c>
      <c r="C131" s="21" t="n">
        <f aca="false">B131+C130+(C128-C130)*Promote</f>
        <v>0</v>
      </c>
      <c r="D131" s="21" t="n">
        <f aca="false">C131+D130+(D128-D130)*Promote</f>
        <v>0</v>
      </c>
      <c r="E131" s="21" t="n">
        <f aca="false">D131+E130+(E128-E130)*Promote</f>
        <v>0</v>
      </c>
      <c r="F131" s="21" t="n">
        <f aca="false">E131+F130+(F128-F130)*Promote</f>
        <v>0</v>
      </c>
      <c r="G131" s="21" t="n">
        <f aca="false">F131+G130+(G128-G130)*Promote</f>
        <v>0</v>
      </c>
      <c r="H131" s="21" t="n">
        <f aca="false">G131+H130+(H128-H130)*Promote</f>
        <v>0</v>
      </c>
      <c r="I131" s="21" t="n">
        <f aca="false">H131+I130+(I128-I130)*Promote</f>
        <v>0</v>
      </c>
      <c r="J131" s="21" t="n">
        <f aca="false">I131+J130+(J128-J130)*Promote</f>
        <v>0</v>
      </c>
      <c r="K131" s="21" t="n">
        <f aca="false">J131+K130+(K128-K130)*Promote</f>
        <v>0</v>
      </c>
      <c r="L131" s="21" t="n">
        <f aca="false">K131+L130+(L128-L130)*Promote</f>
        <v>839915.393119827</v>
      </c>
    </row>
    <row r="132" customFormat="false" ht="15" hidden="false" customHeight="false" outlineLevel="0" collapsed="false">
      <c r="A132" s="7" t="s">
        <v>158</v>
      </c>
      <c r="B132" s="21" t="n">
        <f aca="false">-B121</f>
        <v>19056840</v>
      </c>
      <c r="C132" s="21" t="n">
        <f aca="false">C122-C127+C125</f>
        <v>19056840</v>
      </c>
      <c r="D132" s="21" t="n">
        <f aca="false">D122-D127+D125</f>
        <v>19056840</v>
      </c>
      <c r="E132" s="21" t="n">
        <f aca="false">E122-E127+E125</f>
        <v>19056840</v>
      </c>
      <c r="F132" s="21" t="n">
        <f aca="false">F122-F127+F125</f>
        <v>19056840</v>
      </c>
      <c r="G132" s="21" t="n">
        <f aca="false">G122-G127+G125</f>
        <v>19056840</v>
      </c>
      <c r="H132" s="21" t="n">
        <f aca="false">H122-H127+H125</f>
        <v>19056840</v>
      </c>
      <c r="I132" s="21" t="n">
        <f aca="false">I122-I127+I125</f>
        <v>19056840</v>
      </c>
      <c r="J132" s="21" t="n">
        <f aca="false">J122-J127+J125</f>
        <v>19056840</v>
      </c>
      <c r="K132" s="21" t="n">
        <f aca="false">K122-K127+K125</f>
        <v>19056840</v>
      </c>
      <c r="L132" s="21" t="n">
        <f aca="false">L122-L127+L125</f>
        <v>0</v>
      </c>
    </row>
    <row r="133" customFormat="false" ht="15" hidden="false" customHeight="false" outlineLevel="0" collapsed="false">
      <c r="A133" s="7" t="s">
        <v>159</v>
      </c>
      <c r="B133" s="21" t="n">
        <f aca="false">0</f>
        <v>0</v>
      </c>
      <c r="C133" s="21" t="n">
        <f aca="false">C123+C124-C126</f>
        <v>1524547.2</v>
      </c>
      <c r="D133" s="21" t="n">
        <f aca="false">D123+D124-D126</f>
        <v>2708161.344</v>
      </c>
      <c r="E133" s="21" t="n">
        <f aca="false">E123+E124-E126</f>
        <v>3755832.2938</v>
      </c>
      <c r="F133" s="21" t="n">
        <f aca="false">F123+F124-F126</f>
        <v>4352113.4520603</v>
      </c>
      <c r="G133" s="21" t="n">
        <f aca="false">G123+G124-G126</f>
        <v>4776908.08611782</v>
      </c>
      <c r="H133" s="21" t="n">
        <f aca="false">H123+H124-H126</f>
        <v>5281599.49699007</v>
      </c>
      <c r="I133" s="21" t="n">
        <f aca="false">I123+I124-I126</f>
        <v>5620044.27503936</v>
      </c>
      <c r="J133" s="21" t="n">
        <f aca="false">J123+J124-J126</f>
        <v>6391363.93100533</v>
      </c>
      <c r="K133" s="21" t="n">
        <f aca="false">K123+K124-K126</f>
        <v>6784012.68199457</v>
      </c>
      <c r="L133" s="21" t="n">
        <f aca="false">L123+L124-L126</f>
        <v>0</v>
      </c>
    </row>
    <row r="134" customFormat="false" ht="15" hidden="false" customHeight="false" outlineLevel="0" collapsed="false">
      <c r="A134" s="7" t="s">
        <v>157</v>
      </c>
      <c r="B134" s="21" t="n">
        <f aca="false">B121</f>
        <v>-19056840</v>
      </c>
      <c r="C134" s="21" t="n">
        <f aca="false">IF(C121&lt;0,C121,C126+C127+(C128-C130)*(1-Promote))</f>
        <v>-879267.292</v>
      </c>
      <c r="D134" s="21" t="n">
        <f aca="false">IF(D121&lt;0,D121,D126+D127+(D128-D130)*(1-Promote))</f>
        <v>462896.832</v>
      </c>
      <c r="E134" s="21" t="n">
        <f aca="false">IF(E121&lt;0,E121,E126+E127+(E128-E130)*(1-Promote))</f>
        <v>693529.15772</v>
      </c>
      <c r="F134" s="21" t="n">
        <f aca="false">IF(F121&lt;0,F121,F126+F127+(F128-F130)*(1-Promote))</f>
        <v>1228732.6252437</v>
      </c>
      <c r="G134" s="21" t="n">
        <f aca="false">IF(G121&lt;0,G121,G126+G127+(G128-G130)*(1-Promote))</f>
        <v>1447921.6421073</v>
      </c>
      <c r="H134" s="21" t="n">
        <f aca="false">IF(H121&lt;0,H121,H126+H127+(H128-H130)*(1-Promote))</f>
        <v>1402008.43601717</v>
      </c>
      <c r="I134" s="21" t="n">
        <f aca="false">IF(I121&lt;0,I121,I126+I127+(I128-I130)*(1-Promote))</f>
        <v>1608630.38170992</v>
      </c>
      <c r="J134" s="21" t="n">
        <f aca="false">IF(J121&lt;0,J121,J126+J127+(J128-J130)*(1-Promote))</f>
        <v>1202831.08603718</v>
      </c>
      <c r="K134" s="21" t="n">
        <f aca="false">IF(K121&lt;0,K121,K126+K127+(K128-K130)*(1-Promote))</f>
        <v>1643207.56349119</v>
      </c>
      <c r="L134" s="21" t="n">
        <f aca="false">IF(L121&lt;0,L121,L126+L127+(L128-L130)*(1-Promote))</f>
        <v>27908120.8965541</v>
      </c>
    </row>
    <row r="136" customFormat="false" ht="15" hidden="false" customHeight="false" outlineLevel="0" collapsed="false">
      <c r="A136" s="11" t="s">
        <v>240</v>
      </c>
    </row>
    <row r="137" customFormat="false" ht="15" hidden="false" customHeight="false" outlineLevel="0" collapsed="false">
      <c r="A137" s="7" t="s">
        <v>144</v>
      </c>
      <c r="B137" s="21" t="n">
        <f aca="false">B10</f>
        <v>-16445880</v>
      </c>
      <c r="C137" s="21" t="n">
        <f aca="false">C10</f>
        <v>-994107.292</v>
      </c>
      <c r="D137" s="21" t="n">
        <f aca="false">D10</f>
        <v>348056.832</v>
      </c>
      <c r="E137" s="21" t="n">
        <f aca="false">E10</f>
        <v>578689.15772</v>
      </c>
      <c r="F137" s="21" t="n">
        <f aca="false">F10</f>
        <v>1113892.6252437</v>
      </c>
      <c r="G137" s="21" t="n">
        <f aca="false">G10</f>
        <v>1333081.6421073</v>
      </c>
      <c r="H137" s="21" t="n">
        <f aca="false">H10</f>
        <v>1287168.43601717</v>
      </c>
      <c r="I137" s="21" t="n">
        <f aca="false">I10</f>
        <v>1493790.38170992</v>
      </c>
      <c r="J137" s="21" t="n">
        <f aca="false">J10</f>
        <v>1087991.08603718</v>
      </c>
      <c r="K137" s="21" t="n">
        <f aca="false">K10</f>
        <v>1528367.56349119</v>
      </c>
      <c r="L137" s="21" t="n">
        <f aca="false">L10</f>
        <v>25993196.289674</v>
      </c>
    </row>
    <row r="138" customFormat="false" ht="15" hidden="false" customHeight="false" outlineLevel="0" collapsed="false">
      <c r="A138" s="7" t="s">
        <v>145</v>
      </c>
      <c r="B138" s="21" t="n">
        <f aca="false">0</f>
        <v>0</v>
      </c>
      <c r="C138" s="21" t="n">
        <f aca="false">B148</f>
        <v>16445880</v>
      </c>
      <c r="D138" s="21" t="n">
        <f aca="false">C148</f>
        <v>17439987.292</v>
      </c>
      <c r="E138" s="21" t="n">
        <f aca="false">D148</f>
        <v>17439987.292</v>
      </c>
      <c r="F138" s="21" t="n">
        <f aca="false">E148</f>
        <v>17439987.292</v>
      </c>
      <c r="G138" s="21" t="n">
        <f aca="false">F148</f>
        <v>17439987.292</v>
      </c>
      <c r="H138" s="21" t="n">
        <f aca="false">G148</f>
        <v>17439987.292</v>
      </c>
      <c r="I138" s="21" t="n">
        <f aca="false">H148</f>
        <v>17439987.292</v>
      </c>
      <c r="J138" s="21" t="n">
        <f aca="false">I148</f>
        <v>17439987.292</v>
      </c>
      <c r="K138" s="21" t="n">
        <f aca="false">J148</f>
        <v>17439987.292</v>
      </c>
      <c r="L138" s="21" t="n">
        <f aca="false">K148</f>
        <v>17439987.292</v>
      </c>
    </row>
    <row r="139" customFormat="false" ht="15" hidden="false" customHeight="false" outlineLevel="0" collapsed="false">
      <c r="A139" s="7" t="s">
        <v>146</v>
      </c>
      <c r="B139" s="21" t="n">
        <f aca="false">0</f>
        <v>0</v>
      </c>
      <c r="C139" s="21" t="n">
        <f aca="false">B149</f>
        <v>0</v>
      </c>
      <c r="D139" s="21" t="n">
        <f aca="false">C149</f>
        <v>1315670.4</v>
      </c>
      <c r="E139" s="21" t="n">
        <f aca="false">D149</f>
        <v>2468066.18336</v>
      </c>
      <c r="F139" s="21" t="n">
        <f aca="false">E149</f>
        <v>3482021.3036688</v>
      </c>
      <c r="G139" s="21" t="n">
        <f aca="false">F149</f>
        <v>4041889.3660786</v>
      </c>
      <c r="H139" s="21" t="n">
        <f aca="false">G149</f>
        <v>4427357.85661759</v>
      </c>
      <c r="I139" s="21" t="n">
        <f aca="false">H149</f>
        <v>4889577.03248982</v>
      </c>
      <c r="J139" s="21" t="n">
        <f aca="false">I149</f>
        <v>5182151.79673909</v>
      </c>
      <c r="K139" s="21" t="n">
        <f aca="false">J149</f>
        <v>5903931.83780104</v>
      </c>
      <c r="L139" s="21" t="n">
        <f aca="false">K149</f>
        <v>6243077.80469394</v>
      </c>
    </row>
    <row r="140" customFormat="false" ht="15" hidden="false" customHeight="false" outlineLevel="0" collapsed="false">
      <c r="A140" s="7" t="s">
        <v>147</v>
      </c>
      <c r="B140" s="21" t="n">
        <f aca="false">0</f>
        <v>0</v>
      </c>
      <c r="C140" s="21" t="n">
        <f aca="false">(C138+C139)*Pref</f>
        <v>1315670.4</v>
      </c>
      <c r="D140" s="21" t="n">
        <f aca="false">(D138+D139)*Pref</f>
        <v>1500452.61536</v>
      </c>
      <c r="E140" s="21" t="n">
        <f aca="false">(E138+E139)*Pref</f>
        <v>1592644.2780288</v>
      </c>
      <c r="F140" s="21" t="n">
        <f aca="false">(F138+F139)*Pref</f>
        <v>1673760.6876535</v>
      </c>
      <c r="G140" s="21" t="n">
        <f aca="false">(G138+G139)*Pref</f>
        <v>1718550.13264629</v>
      </c>
      <c r="H140" s="21" t="n">
        <f aca="false">(H138+H139)*Pref</f>
        <v>1749387.61188941</v>
      </c>
      <c r="I140" s="21" t="n">
        <f aca="false">(I138+I139)*Pref</f>
        <v>1786365.14595919</v>
      </c>
      <c r="J140" s="21" t="n">
        <f aca="false">(J138+J139)*Pref</f>
        <v>1809771.12709913</v>
      </c>
      <c r="K140" s="21" t="n">
        <f aca="false">(K138+K139)*Pref</f>
        <v>1867513.53038408</v>
      </c>
      <c r="L140" s="21" t="n">
        <f aca="false">(L138+L139)*Pref</f>
        <v>1894645.20773552</v>
      </c>
    </row>
    <row r="141" customFormat="false" ht="15" hidden="false" customHeight="false" outlineLevel="0" collapsed="false">
      <c r="A141" s="7" t="s">
        <v>148</v>
      </c>
      <c r="B141" s="21" t="n">
        <f aca="false">0</f>
        <v>0</v>
      </c>
      <c r="C141" s="21" t="n">
        <f aca="false">IF(C137&lt;0,-C137*1,0)</f>
        <v>994107.292</v>
      </c>
      <c r="D141" s="21" t="n">
        <f aca="false">IF(D137&lt;0,-D137*1,0)</f>
        <v>0</v>
      </c>
      <c r="E141" s="21" t="n">
        <f aca="false">IF(E137&lt;0,-E137*1,0)</f>
        <v>0</v>
      </c>
      <c r="F141" s="21" t="n">
        <f aca="false">IF(F137&lt;0,-F137*1,0)</f>
        <v>0</v>
      </c>
      <c r="G141" s="21" t="n">
        <f aca="false">IF(G137&lt;0,-G137*1,0)</f>
        <v>0</v>
      </c>
      <c r="H141" s="21" t="n">
        <f aca="false">IF(H137&lt;0,-H137*1,0)</f>
        <v>0</v>
      </c>
      <c r="I141" s="21" t="n">
        <f aca="false">IF(I137&lt;0,-I137*1,0)</f>
        <v>0</v>
      </c>
      <c r="J141" s="21" t="n">
        <f aca="false">IF(J137&lt;0,-J137*1,0)</f>
        <v>0</v>
      </c>
      <c r="K141" s="21" t="n">
        <f aca="false">IF(K137&lt;0,-K137*1,0)</f>
        <v>0</v>
      </c>
      <c r="L141" s="21" t="n">
        <f aca="false">IF(L137&lt;0,-L137*1,0)</f>
        <v>0</v>
      </c>
    </row>
    <row r="142" customFormat="false" ht="15" hidden="false" customHeight="false" outlineLevel="0" collapsed="false">
      <c r="A142" s="7" t="s">
        <v>149</v>
      </c>
      <c r="B142" s="21" t="n">
        <f aca="false">0</f>
        <v>0</v>
      </c>
      <c r="C142" s="21" t="n">
        <f aca="false">IF(C137&gt;0,MIN(C137,C139+C140),0)</f>
        <v>0</v>
      </c>
      <c r="D142" s="21" t="n">
        <f aca="false">IF(D137&gt;0,MIN(D137,D139+D140),0)</f>
        <v>348056.832</v>
      </c>
      <c r="E142" s="21" t="n">
        <f aca="false">IF(E137&gt;0,MIN(E137,E139+E140),0)</f>
        <v>578689.15772</v>
      </c>
      <c r="F142" s="21" t="n">
        <f aca="false">IF(F137&gt;0,MIN(F137,F139+F140),0)</f>
        <v>1113892.6252437</v>
      </c>
      <c r="G142" s="21" t="n">
        <f aca="false">IF(G137&gt;0,MIN(G137,G139+G140),0)</f>
        <v>1333081.6421073</v>
      </c>
      <c r="H142" s="21" t="n">
        <f aca="false">IF(H137&gt;0,MIN(H137,H139+H140),0)</f>
        <v>1287168.43601717</v>
      </c>
      <c r="I142" s="21" t="n">
        <f aca="false">IF(I137&gt;0,MIN(I137,I139+I140),0)</f>
        <v>1493790.38170992</v>
      </c>
      <c r="J142" s="21" t="n">
        <f aca="false">IF(J137&gt;0,MIN(J137,J139+J140),0)</f>
        <v>1087991.08603718</v>
      </c>
      <c r="K142" s="21" t="n">
        <f aca="false">IF(K137&gt;0,MIN(K137,K139+K140),0)</f>
        <v>1528367.56349119</v>
      </c>
      <c r="L142" s="21" t="n">
        <f aca="false">IF(L137&gt;0,MIN(L137,L139+L140),0)</f>
        <v>8137723.01242945</v>
      </c>
    </row>
    <row r="143" customFormat="false" ht="15" hidden="false" customHeight="false" outlineLevel="0" collapsed="false">
      <c r="A143" s="7" t="s">
        <v>150</v>
      </c>
      <c r="B143" s="21" t="n">
        <f aca="false">0</f>
        <v>0</v>
      </c>
      <c r="C143" s="21" t="n">
        <f aca="false">IF(C137&gt;0,MIN(C137-C142,C138),0)</f>
        <v>0</v>
      </c>
      <c r="D143" s="21" t="n">
        <f aca="false">IF(D137&gt;0,MIN(D137-D142,D138),0)</f>
        <v>0</v>
      </c>
      <c r="E143" s="21" t="n">
        <f aca="false">IF(E137&gt;0,MIN(E137-E142,E138),0)</f>
        <v>0</v>
      </c>
      <c r="F143" s="21" t="n">
        <f aca="false">IF(F137&gt;0,MIN(F137-F142,F138),0)</f>
        <v>0</v>
      </c>
      <c r="G143" s="21" t="n">
        <f aca="false">IF(G137&gt;0,MIN(G137-G142,G138),0)</f>
        <v>0</v>
      </c>
      <c r="H143" s="21" t="n">
        <f aca="false">IF(H137&gt;0,MIN(H137-H142,H138),0)</f>
        <v>0</v>
      </c>
      <c r="I143" s="21" t="n">
        <f aca="false">IF(I137&gt;0,MIN(I137-I142,I138),0)</f>
        <v>0</v>
      </c>
      <c r="J143" s="21" t="n">
        <f aca="false">IF(J137&gt;0,MIN(J137-J142,J138),0)</f>
        <v>0</v>
      </c>
      <c r="K143" s="21" t="n">
        <f aca="false">IF(K137&gt;0,MIN(K137-K142,K138),0)</f>
        <v>0</v>
      </c>
      <c r="L143" s="21" t="n">
        <f aca="false">IF(L137&gt;0,MIN(L137-L142,L138),0)</f>
        <v>17439987.292</v>
      </c>
    </row>
    <row r="144" customFormat="false" ht="15" hidden="false" customHeight="false" outlineLevel="0" collapsed="false">
      <c r="A144" s="7" t="s">
        <v>151</v>
      </c>
      <c r="B144" s="21" t="n">
        <f aca="false">0</f>
        <v>0</v>
      </c>
      <c r="C144" s="21" t="n">
        <f aca="false">IF(C137&gt;0,C137-C142-C143,0)</f>
        <v>0</v>
      </c>
      <c r="D144" s="21" t="n">
        <f aca="false">IF(D137&gt;0,D137-D142-D143,0)</f>
        <v>0</v>
      </c>
      <c r="E144" s="21" t="n">
        <f aca="false">IF(E137&gt;0,E137-E142-E143,0)</f>
        <v>0</v>
      </c>
      <c r="F144" s="21" t="n">
        <f aca="false">IF(F137&gt;0,F137-F142-F143,0)</f>
        <v>0</v>
      </c>
      <c r="G144" s="21" t="n">
        <f aca="false">IF(G137&gt;0,G137-G142-G143,0)</f>
        <v>0</v>
      </c>
      <c r="H144" s="21" t="n">
        <f aca="false">IF(H137&gt;0,H137-H142-H143,0)</f>
        <v>0</v>
      </c>
      <c r="I144" s="21" t="n">
        <f aca="false">IF(I137&gt;0,I137-I142-I143,0)</f>
        <v>0</v>
      </c>
      <c r="J144" s="21" t="n">
        <f aca="false">IF(J137&gt;0,J137-J142-J143,0)</f>
        <v>0</v>
      </c>
      <c r="K144" s="21" t="n">
        <f aca="false">IF(K137&gt;0,K137-K142-K143,0)</f>
        <v>0</v>
      </c>
      <c r="L144" s="21" t="n">
        <f aca="false">IF(L137&gt;0,L137-L142-L143,0)</f>
        <v>415485.985244509</v>
      </c>
    </row>
    <row r="145" customFormat="false" ht="15" hidden="false" customHeight="false" outlineLevel="0" collapsed="false">
      <c r="A145" s="7" t="s">
        <v>152</v>
      </c>
      <c r="B145" s="21" t="n">
        <f aca="false">0</f>
        <v>0</v>
      </c>
      <c r="C145" s="21" t="n">
        <f aca="false">B145+C142</f>
        <v>0</v>
      </c>
      <c r="D145" s="21" t="n">
        <f aca="false">C145+D142</f>
        <v>348056.832</v>
      </c>
      <c r="E145" s="21" t="n">
        <f aca="false">D145+E142</f>
        <v>926745.98972</v>
      </c>
      <c r="F145" s="21" t="n">
        <f aca="false">E145+F142</f>
        <v>2040638.6149637</v>
      </c>
      <c r="G145" s="21" t="n">
        <f aca="false">F145+G142</f>
        <v>3373720.257071</v>
      </c>
      <c r="H145" s="21" t="n">
        <f aca="false">G145+H142</f>
        <v>4660888.69308818</v>
      </c>
      <c r="I145" s="21" t="n">
        <f aca="false">H145+I142</f>
        <v>6154679.0747981</v>
      </c>
      <c r="J145" s="21" t="n">
        <f aca="false">I145+J142</f>
        <v>7242670.16083527</v>
      </c>
      <c r="K145" s="21" t="n">
        <f aca="false">J145+K142</f>
        <v>8771037.72432646</v>
      </c>
      <c r="L145" s="21" t="n">
        <f aca="false">K145+L142</f>
        <v>16908760.7367559</v>
      </c>
    </row>
    <row r="146" customFormat="false" ht="15" hidden="false" customHeight="false" outlineLevel="0" collapsed="false">
      <c r="A146" s="7" t="s">
        <v>154</v>
      </c>
      <c r="B146" s="21" t="n">
        <f aca="false">0</f>
        <v>0</v>
      </c>
      <c r="C146" s="21" t="n">
        <f aca="false">1*MIN(C144,MAX(0,C145*CatchUp-B147))</f>
        <v>0</v>
      </c>
      <c r="D146" s="21" t="n">
        <f aca="false">1*MIN(D144,MAX(0,D145*CatchUp-C147))</f>
        <v>0</v>
      </c>
      <c r="E146" s="21" t="n">
        <f aca="false">1*MIN(E144,MAX(0,E145*CatchUp-D147))</f>
        <v>0</v>
      </c>
      <c r="F146" s="21" t="n">
        <f aca="false">1*MIN(F144,MAX(0,F145*CatchUp-E147))</f>
        <v>0</v>
      </c>
      <c r="G146" s="21" t="n">
        <f aca="false">1*MIN(G144,MAX(0,G145*CatchUp-F147))</f>
        <v>0</v>
      </c>
      <c r="H146" s="21" t="n">
        <f aca="false">1*MIN(H144,MAX(0,H145*CatchUp-G147))</f>
        <v>0</v>
      </c>
      <c r="I146" s="21" t="n">
        <f aca="false">1*MIN(I144,MAX(0,I145*CatchUp-H147))</f>
        <v>0</v>
      </c>
      <c r="J146" s="21" t="n">
        <f aca="false">1*MIN(J144,MAX(0,J145*CatchUp-I147))</f>
        <v>0</v>
      </c>
      <c r="K146" s="21" t="n">
        <f aca="false">1*MIN(K144,MAX(0,K145*CatchUp-J147))</f>
        <v>0</v>
      </c>
      <c r="L146" s="21" t="n">
        <f aca="false">1*MIN(L144,MAX(0,L145*CatchUp-K147))</f>
        <v>415485.985244509</v>
      </c>
    </row>
    <row r="147" customFormat="false" ht="15" hidden="false" customHeight="false" outlineLevel="0" collapsed="false">
      <c r="A147" s="7" t="s">
        <v>156</v>
      </c>
      <c r="B147" s="21" t="n">
        <f aca="false">0</f>
        <v>0</v>
      </c>
      <c r="C147" s="21" t="n">
        <f aca="false">B147+C146+(C144-C146)*Promote</f>
        <v>0</v>
      </c>
      <c r="D147" s="21" t="n">
        <f aca="false">C147+D146+(D144-D146)*Promote</f>
        <v>0</v>
      </c>
      <c r="E147" s="21" t="n">
        <f aca="false">D147+E146+(E144-E146)*Promote</f>
        <v>0</v>
      </c>
      <c r="F147" s="21" t="n">
        <f aca="false">E147+F146+(F144-F146)*Promote</f>
        <v>0</v>
      </c>
      <c r="G147" s="21" t="n">
        <f aca="false">F147+G146+(G144-G146)*Promote</f>
        <v>0</v>
      </c>
      <c r="H147" s="21" t="n">
        <f aca="false">G147+H146+(H144-H146)*Promote</f>
        <v>0</v>
      </c>
      <c r="I147" s="21" t="n">
        <f aca="false">H147+I146+(I144-I146)*Promote</f>
        <v>0</v>
      </c>
      <c r="J147" s="21" t="n">
        <f aca="false">I147+J146+(J144-J146)*Promote</f>
        <v>0</v>
      </c>
      <c r="K147" s="21" t="n">
        <f aca="false">J147+K146+(K144-K146)*Promote</f>
        <v>0</v>
      </c>
      <c r="L147" s="21" t="n">
        <f aca="false">K147+L146+(L144-L146)*Promote</f>
        <v>415485.985244509</v>
      </c>
    </row>
    <row r="148" customFormat="false" ht="15" hidden="false" customHeight="false" outlineLevel="0" collapsed="false">
      <c r="A148" s="7" t="s">
        <v>158</v>
      </c>
      <c r="B148" s="21" t="n">
        <f aca="false">-B137</f>
        <v>16445880</v>
      </c>
      <c r="C148" s="21" t="n">
        <f aca="false">C138-C143+C141</f>
        <v>17439987.292</v>
      </c>
      <c r="D148" s="21" t="n">
        <f aca="false">D138-D143+D141</f>
        <v>17439987.292</v>
      </c>
      <c r="E148" s="21" t="n">
        <f aca="false">E138-E143+E141</f>
        <v>17439987.292</v>
      </c>
      <c r="F148" s="21" t="n">
        <f aca="false">F138-F143+F141</f>
        <v>17439987.292</v>
      </c>
      <c r="G148" s="21" t="n">
        <f aca="false">G138-G143+G141</f>
        <v>17439987.292</v>
      </c>
      <c r="H148" s="21" t="n">
        <f aca="false">H138-H143+H141</f>
        <v>17439987.292</v>
      </c>
      <c r="I148" s="21" t="n">
        <f aca="false">I138-I143+I141</f>
        <v>17439987.292</v>
      </c>
      <c r="J148" s="21" t="n">
        <f aca="false">J138-J143+J141</f>
        <v>17439987.292</v>
      </c>
      <c r="K148" s="21" t="n">
        <f aca="false">K138-K143+K141</f>
        <v>17439987.292</v>
      </c>
      <c r="L148" s="21" t="n">
        <f aca="false">L138-L143+L141</f>
        <v>0</v>
      </c>
    </row>
    <row r="149" customFormat="false" ht="15" hidden="false" customHeight="false" outlineLevel="0" collapsed="false">
      <c r="A149" s="7" t="s">
        <v>159</v>
      </c>
      <c r="B149" s="21" t="n">
        <f aca="false">0</f>
        <v>0</v>
      </c>
      <c r="C149" s="21" t="n">
        <f aca="false">C139+C140-C142</f>
        <v>1315670.4</v>
      </c>
      <c r="D149" s="21" t="n">
        <f aca="false">D139+D140-D142</f>
        <v>2468066.18336</v>
      </c>
      <c r="E149" s="21" t="n">
        <f aca="false">E139+E140-E142</f>
        <v>3482021.3036688</v>
      </c>
      <c r="F149" s="21" t="n">
        <f aca="false">F139+F140-F142</f>
        <v>4041889.3660786</v>
      </c>
      <c r="G149" s="21" t="n">
        <f aca="false">G139+G140-G142</f>
        <v>4427357.85661759</v>
      </c>
      <c r="H149" s="21" t="n">
        <f aca="false">H139+H140-H142</f>
        <v>4889577.03248982</v>
      </c>
      <c r="I149" s="21" t="n">
        <f aca="false">I139+I140-I142</f>
        <v>5182151.79673909</v>
      </c>
      <c r="J149" s="21" t="n">
        <f aca="false">J139+J140-J142</f>
        <v>5903931.83780104</v>
      </c>
      <c r="K149" s="21" t="n">
        <f aca="false">K139+K140-K142</f>
        <v>6243077.80469394</v>
      </c>
      <c r="L149" s="21" t="n">
        <f aca="false">L139+L140-L142</f>
        <v>0</v>
      </c>
    </row>
    <row r="150" customFormat="false" ht="15" hidden="false" customHeight="false" outlineLevel="0" collapsed="false">
      <c r="A150" s="7" t="s">
        <v>157</v>
      </c>
      <c r="B150" s="21" t="n">
        <f aca="false">B137</f>
        <v>-16445880</v>
      </c>
      <c r="C150" s="21" t="n">
        <f aca="false">IF(C137&lt;0,C137,C142+C143+(C144-C146)*(1-Promote))</f>
        <v>-994107.292</v>
      </c>
      <c r="D150" s="21" t="n">
        <f aca="false">IF(D137&lt;0,D137,D142+D143+(D144-D146)*(1-Promote))</f>
        <v>348056.832</v>
      </c>
      <c r="E150" s="21" t="n">
        <f aca="false">IF(E137&lt;0,E137,E142+E143+(E144-E146)*(1-Promote))</f>
        <v>578689.15772</v>
      </c>
      <c r="F150" s="21" t="n">
        <f aca="false">IF(F137&lt;0,F137,F142+F143+(F144-F146)*(1-Promote))</f>
        <v>1113892.6252437</v>
      </c>
      <c r="G150" s="21" t="n">
        <f aca="false">IF(G137&lt;0,G137,G142+G143+(G144-G146)*(1-Promote))</f>
        <v>1333081.6421073</v>
      </c>
      <c r="H150" s="21" t="n">
        <f aca="false">IF(H137&lt;0,H137,H142+H143+(H144-H146)*(1-Promote))</f>
        <v>1287168.43601717</v>
      </c>
      <c r="I150" s="21" t="n">
        <f aca="false">IF(I137&lt;0,I137,I142+I143+(I144-I146)*(1-Promote))</f>
        <v>1493790.38170992</v>
      </c>
      <c r="J150" s="21" t="n">
        <f aca="false">IF(J137&lt;0,J137,J142+J143+(J144-J146)*(1-Promote))</f>
        <v>1087991.08603718</v>
      </c>
      <c r="K150" s="21" t="n">
        <f aca="false">IF(K137&lt;0,K137,K142+K143+(K144-K146)*(1-Promote))</f>
        <v>1528367.56349119</v>
      </c>
      <c r="L150" s="21" t="n">
        <f aca="false">IF(L137&lt;0,L137,L142+L143+(L144-L146)*(1-Promote))</f>
        <v>25577710.3044295</v>
      </c>
    </row>
    <row r="152" customFormat="false" ht="15" hidden="false" customHeight="false" outlineLevel="0" collapsed="false">
      <c r="A152" s="11" t="s">
        <v>241</v>
      </c>
    </row>
    <row r="153" customFormat="false" ht="15" hidden="false" customHeight="false" outlineLevel="0" collapsed="false">
      <c r="A153" s="7" t="s">
        <v>144</v>
      </c>
      <c r="B153" s="21" t="n">
        <f aca="false">B10</f>
        <v>-16445880</v>
      </c>
      <c r="C153" s="21" t="n">
        <f aca="false">C10</f>
        <v>-994107.292</v>
      </c>
      <c r="D153" s="21" t="n">
        <f aca="false">D10</f>
        <v>348056.832</v>
      </c>
      <c r="E153" s="21" t="n">
        <f aca="false">E10</f>
        <v>578689.15772</v>
      </c>
      <c r="F153" s="21" t="n">
        <f aca="false">F10</f>
        <v>1113892.6252437</v>
      </c>
      <c r="G153" s="21" t="n">
        <f aca="false">G10</f>
        <v>1333081.6421073</v>
      </c>
      <c r="H153" s="21" t="n">
        <f aca="false">H10</f>
        <v>1287168.43601717</v>
      </c>
      <c r="I153" s="21" t="n">
        <f aca="false">I10</f>
        <v>1493790.38170992</v>
      </c>
      <c r="J153" s="21" t="n">
        <f aca="false">J10</f>
        <v>1087991.08603718</v>
      </c>
      <c r="K153" s="21" t="n">
        <f aca="false">K10</f>
        <v>1528367.56349119</v>
      </c>
      <c r="L153" s="21" t="n">
        <f aca="false">L10</f>
        <v>25993196.289674</v>
      </c>
    </row>
    <row r="154" customFormat="false" ht="15" hidden="false" customHeight="false" outlineLevel="0" collapsed="false">
      <c r="A154" s="7" t="s">
        <v>145</v>
      </c>
      <c r="B154" s="21" t="n">
        <f aca="false">0</f>
        <v>0</v>
      </c>
      <c r="C154" s="21" t="n">
        <f aca="false">B164</f>
        <v>16445880</v>
      </c>
      <c r="D154" s="21" t="n">
        <f aca="false">C164</f>
        <v>16445880</v>
      </c>
      <c r="E154" s="21" t="n">
        <f aca="false">D164</f>
        <v>16445880</v>
      </c>
      <c r="F154" s="21" t="n">
        <f aca="false">E164</f>
        <v>16445880</v>
      </c>
      <c r="G154" s="21" t="n">
        <f aca="false">F164</f>
        <v>16445880</v>
      </c>
      <c r="H154" s="21" t="n">
        <f aca="false">G164</f>
        <v>16445880</v>
      </c>
      <c r="I154" s="21" t="n">
        <f aca="false">H164</f>
        <v>16445880</v>
      </c>
      <c r="J154" s="21" t="n">
        <f aca="false">I164</f>
        <v>16445880</v>
      </c>
      <c r="K154" s="21" t="n">
        <f aca="false">J164</f>
        <v>16445880</v>
      </c>
      <c r="L154" s="21" t="n">
        <f aca="false">K164</f>
        <v>16445880</v>
      </c>
    </row>
    <row r="155" customFormat="false" ht="15" hidden="false" customHeight="false" outlineLevel="0" collapsed="false">
      <c r="A155" s="7" t="s">
        <v>146</v>
      </c>
      <c r="B155" s="21" t="n">
        <f aca="false">0</f>
        <v>0</v>
      </c>
      <c r="C155" s="21" t="n">
        <f aca="false">B165</f>
        <v>0</v>
      </c>
      <c r="D155" s="21" t="n">
        <f aca="false">C165</f>
        <v>1315670.4</v>
      </c>
      <c r="E155" s="21" t="n">
        <f aca="false">D165</f>
        <v>2388537.6</v>
      </c>
      <c r="F155" s="21" t="n">
        <f aca="false">E165</f>
        <v>3316601.85028</v>
      </c>
      <c r="G155" s="21" t="n">
        <f aca="false">F165</f>
        <v>3783707.7730587</v>
      </c>
      <c r="H155" s="21" t="n">
        <f aca="false">G165</f>
        <v>4068993.15279609</v>
      </c>
      <c r="I155" s="21" t="n">
        <f aca="false">H165</f>
        <v>4423014.56900261</v>
      </c>
      <c r="J155" s="21" t="n">
        <f aca="false">I165</f>
        <v>4598735.7528129</v>
      </c>
      <c r="K155" s="21" t="n">
        <f aca="false">J165</f>
        <v>5194313.92700075</v>
      </c>
      <c r="L155" s="21" t="n">
        <f aca="false">K165</f>
        <v>5397161.87766963</v>
      </c>
    </row>
    <row r="156" customFormat="false" ht="15" hidden="false" customHeight="false" outlineLevel="0" collapsed="false">
      <c r="A156" s="7" t="s">
        <v>147</v>
      </c>
      <c r="B156" s="21" t="n">
        <f aca="false">0</f>
        <v>0</v>
      </c>
      <c r="C156" s="21" t="n">
        <f aca="false">(C154+C155)*Pref</f>
        <v>1315670.4</v>
      </c>
      <c r="D156" s="21" t="n">
        <f aca="false">(D154+D155)*Pref</f>
        <v>1420924.032</v>
      </c>
      <c r="E156" s="21" t="n">
        <f aca="false">(E154+E155)*Pref</f>
        <v>1506753.408</v>
      </c>
      <c r="F156" s="21" t="n">
        <f aca="false">(F154+F155)*Pref</f>
        <v>1580998.5480224</v>
      </c>
      <c r="G156" s="21" t="n">
        <f aca="false">(G154+G155)*Pref</f>
        <v>1618367.0218447</v>
      </c>
      <c r="H156" s="21" t="n">
        <f aca="false">(H154+H155)*Pref</f>
        <v>1641189.85222369</v>
      </c>
      <c r="I156" s="21" t="n">
        <f aca="false">(I154+I155)*Pref</f>
        <v>1669511.56552021</v>
      </c>
      <c r="J156" s="21" t="n">
        <f aca="false">(J154+J155)*Pref</f>
        <v>1683569.26022503</v>
      </c>
      <c r="K156" s="21" t="n">
        <f aca="false">(K154+K155)*Pref</f>
        <v>1731215.51416006</v>
      </c>
      <c r="L156" s="21" t="n">
        <f aca="false">(L154+L155)*Pref</f>
        <v>1747443.35021357</v>
      </c>
    </row>
    <row r="157" customFormat="false" ht="15" hidden="false" customHeight="false" outlineLevel="0" collapsed="false">
      <c r="A157" s="7" t="s">
        <v>148</v>
      </c>
      <c r="B157" s="21" t="n">
        <f aca="false">0</f>
        <v>0</v>
      </c>
      <c r="C157" s="21" t="n">
        <f aca="false">IF(C153&lt;0,-C153*0,0)</f>
        <v>0</v>
      </c>
      <c r="D157" s="21" t="n">
        <f aca="false">IF(D153&lt;0,-D153*0,0)</f>
        <v>0</v>
      </c>
      <c r="E157" s="21" t="n">
        <f aca="false">IF(E153&lt;0,-E153*0,0)</f>
        <v>0</v>
      </c>
      <c r="F157" s="21" t="n">
        <f aca="false">IF(F153&lt;0,-F153*0,0)</f>
        <v>0</v>
      </c>
      <c r="G157" s="21" t="n">
        <f aca="false">IF(G153&lt;0,-G153*0,0)</f>
        <v>0</v>
      </c>
      <c r="H157" s="21" t="n">
        <f aca="false">IF(H153&lt;0,-H153*0,0)</f>
        <v>0</v>
      </c>
      <c r="I157" s="21" t="n">
        <f aca="false">IF(I153&lt;0,-I153*0,0)</f>
        <v>0</v>
      </c>
      <c r="J157" s="21" t="n">
        <f aca="false">IF(J153&lt;0,-J153*0,0)</f>
        <v>0</v>
      </c>
      <c r="K157" s="21" t="n">
        <f aca="false">IF(K153&lt;0,-K153*0,0)</f>
        <v>0</v>
      </c>
      <c r="L157" s="21" t="n">
        <f aca="false">IF(L153&lt;0,-L153*0,0)</f>
        <v>0</v>
      </c>
    </row>
    <row r="158" customFormat="false" ht="15" hidden="false" customHeight="false" outlineLevel="0" collapsed="false">
      <c r="A158" s="7" t="s">
        <v>149</v>
      </c>
      <c r="B158" s="21" t="n">
        <f aca="false">0</f>
        <v>0</v>
      </c>
      <c r="C158" s="21" t="n">
        <f aca="false">IF(C153&gt;0,MIN(C153,C155+C156),0)</f>
        <v>0</v>
      </c>
      <c r="D158" s="21" t="n">
        <f aca="false">IF(D153&gt;0,MIN(D153,D155+D156),0)</f>
        <v>348056.832</v>
      </c>
      <c r="E158" s="21" t="n">
        <f aca="false">IF(E153&gt;0,MIN(E153,E155+E156),0)</f>
        <v>578689.15772</v>
      </c>
      <c r="F158" s="21" t="n">
        <f aca="false">IF(F153&gt;0,MIN(F153,F155+F156),0)</f>
        <v>1113892.6252437</v>
      </c>
      <c r="G158" s="21" t="n">
        <f aca="false">IF(G153&gt;0,MIN(G153,G155+G156),0)</f>
        <v>1333081.6421073</v>
      </c>
      <c r="H158" s="21" t="n">
        <f aca="false">IF(H153&gt;0,MIN(H153,H155+H156),0)</f>
        <v>1287168.43601717</v>
      </c>
      <c r="I158" s="21" t="n">
        <f aca="false">IF(I153&gt;0,MIN(I153,I155+I156),0)</f>
        <v>1493790.38170992</v>
      </c>
      <c r="J158" s="21" t="n">
        <f aca="false">IF(J153&gt;0,MIN(J153,J155+J156),0)</f>
        <v>1087991.08603718</v>
      </c>
      <c r="K158" s="21" t="n">
        <f aca="false">IF(K153&gt;0,MIN(K153,K155+K156),0)</f>
        <v>1528367.56349119</v>
      </c>
      <c r="L158" s="21" t="n">
        <f aca="false">IF(L153&gt;0,MIN(L153,L155+L156),0)</f>
        <v>7144605.2278832</v>
      </c>
    </row>
    <row r="159" customFormat="false" ht="15" hidden="false" customHeight="false" outlineLevel="0" collapsed="false">
      <c r="A159" s="7" t="s">
        <v>150</v>
      </c>
      <c r="B159" s="21" t="n">
        <f aca="false">0</f>
        <v>0</v>
      </c>
      <c r="C159" s="21" t="n">
        <f aca="false">IF(C153&gt;0,MIN(C153-C158,C154),0)</f>
        <v>0</v>
      </c>
      <c r="D159" s="21" t="n">
        <f aca="false">IF(D153&gt;0,MIN(D153-D158,D154),0)</f>
        <v>0</v>
      </c>
      <c r="E159" s="21" t="n">
        <f aca="false">IF(E153&gt;0,MIN(E153-E158,E154),0)</f>
        <v>0</v>
      </c>
      <c r="F159" s="21" t="n">
        <f aca="false">IF(F153&gt;0,MIN(F153-F158,F154),0)</f>
        <v>0</v>
      </c>
      <c r="G159" s="21" t="n">
        <f aca="false">IF(G153&gt;0,MIN(G153-G158,G154),0)</f>
        <v>0</v>
      </c>
      <c r="H159" s="21" t="n">
        <f aca="false">IF(H153&gt;0,MIN(H153-H158,H154),0)</f>
        <v>0</v>
      </c>
      <c r="I159" s="21" t="n">
        <f aca="false">IF(I153&gt;0,MIN(I153-I158,I154),0)</f>
        <v>0</v>
      </c>
      <c r="J159" s="21" t="n">
        <f aca="false">IF(J153&gt;0,MIN(J153-J158,J154),0)</f>
        <v>0</v>
      </c>
      <c r="K159" s="21" t="n">
        <f aca="false">IF(K153&gt;0,MIN(K153-K158,K154),0)</f>
        <v>0</v>
      </c>
      <c r="L159" s="21" t="n">
        <f aca="false">IF(L153&gt;0,MIN(L153-L158,L154),0)</f>
        <v>16445880</v>
      </c>
    </row>
    <row r="160" customFormat="false" ht="15" hidden="false" customHeight="false" outlineLevel="0" collapsed="false">
      <c r="A160" s="7" t="s">
        <v>151</v>
      </c>
      <c r="B160" s="21" t="n">
        <f aca="false">0</f>
        <v>0</v>
      </c>
      <c r="C160" s="21" t="n">
        <f aca="false">IF(C153&gt;0,C153-C158-C159,0)</f>
        <v>0</v>
      </c>
      <c r="D160" s="21" t="n">
        <f aca="false">IF(D153&gt;0,D153-D158-D159,0)</f>
        <v>0</v>
      </c>
      <c r="E160" s="21" t="n">
        <f aca="false">IF(E153&gt;0,E153-E158-E159,0)</f>
        <v>0</v>
      </c>
      <c r="F160" s="21" t="n">
        <f aca="false">IF(F153&gt;0,F153-F158-F159,0)</f>
        <v>0</v>
      </c>
      <c r="G160" s="21" t="n">
        <f aca="false">IF(G153&gt;0,G153-G158-G159,0)</f>
        <v>0</v>
      </c>
      <c r="H160" s="21" t="n">
        <f aca="false">IF(H153&gt;0,H153-H158-H159,0)</f>
        <v>0</v>
      </c>
      <c r="I160" s="21" t="n">
        <f aca="false">IF(I153&gt;0,I153-I158-I159,0)</f>
        <v>0</v>
      </c>
      <c r="J160" s="21" t="n">
        <f aca="false">IF(J153&gt;0,J153-J158-J159,0)</f>
        <v>0</v>
      </c>
      <c r="K160" s="21" t="n">
        <f aca="false">IF(K153&gt;0,K153-K158-K159,0)</f>
        <v>0</v>
      </c>
      <c r="L160" s="21" t="n">
        <f aca="false">IF(L153&gt;0,L153-L158-L159,0)</f>
        <v>2402711.06179076</v>
      </c>
    </row>
    <row r="161" customFormat="false" ht="15" hidden="false" customHeight="false" outlineLevel="0" collapsed="false">
      <c r="A161" s="7" t="s">
        <v>152</v>
      </c>
      <c r="B161" s="21" t="n">
        <f aca="false">0</f>
        <v>0</v>
      </c>
      <c r="C161" s="21" t="n">
        <f aca="false">B161+C158</f>
        <v>0</v>
      </c>
      <c r="D161" s="21" t="n">
        <f aca="false">C161+D158</f>
        <v>348056.832</v>
      </c>
      <c r="E161" s="21" t="n">
        <f aca="false">D161+E158</f>
        <v>926745.98972</v>
      </c>
      <c r="F161" s="21" t="n">
        <f aca="false">E161+F158</f>
        <v>2040638.6149637</v>
      </c>
      <c r="G161" s="21" t="n">
        <f aca="false">F161+G158</f>
        <v>3373720.257071</v>
      </c>
      <c r="H161" s="21" t="n">
        <f aca="false">G161+H158</f>
        <v>4660888.69308818</v>
      </c>
      <c r="I161" s="21" t="n">
        <f aca="false">H161+I158</f>
        <v>6154679.0747981</v>
      </c>
      <c r="J161" s="21" t="n">
        <f aca="false">I161+J158</f>
        <v>7242670.16083527</v>
      </c>
      <c r="K161" s="21" t="n">
        <f aca="false">J161+K158</f>
        <v>8771037.72432646</v>
      </c>
      <c r="L161" s="21" t="n">
        <f aca="false">K161+L158</f>
        <v>15915642.9522097</v>
      </c>
    </row>
    <row r="162" customFormat="false" ht="15" hidden="false" customHeight="false" outlineLevel="0" collapsed="false">
      <c r="A162" s="7" t="s">
        <v>154</v>
      </c>
      <c r="B162" s="21" t="n">
        <f aca="false">0</f>
        <v>0</v>
      </c>
      <c r="C162" s="21" t="n">
        <f aca="false">1*MIN(C160,MAX(0,C161*CatchUp-B163))</f>
        <v>0</v>
      </c>
      <c r="D162" s="21" t="n">
        <f aca="false">1*MIN(D160,MAX(0,D161*CatchUp-C163))</f>
        <v>0</v>
      </c>
      <c r="E162" s="21" t="n">
        <f aca="false">1*MIN(E160,MAX(0,E161*CatchUp-D163))</f>
        <v>0</v>
      </c>
      <c r="F162" s="21" t="n">
        <f aca="false">1*MIN(F160,MAX(0,F161*CatchUp-E163))</f>
        <v>0</v>
      </c>
      <c r="G162" s="21" t="n">
        <f aca="false">1*MIN(G160,MAX(0,G161*CatchUp-F163))</f>
        <v>0</v>
      </c>
      <c r="H162" s="21" t="n">
        <f aca="false">1*MIN(H160,MAX(0,H161*CatchUp-G163))</f>
        <v>0</v>
      </c>
      <c r="I162" s="21" t="n">
        <f aca="false">1*MIN(I160,MAX(0,I161*CatchUp-H163))</f>
        <v>0</v>
      </c>
      <c r="J162" s="21" t="n">
        <f aca="false">1*MIN(J160,MAX(0,J161*CatchUp-I163))</f>
        <v>0</v>
      </c>
      <c r="K162" s="21" t="n">
        <f aca="false">1*MIN(K160,MAX(0,K161*CatchUp-J163))</f>
        <v>0</v>
      </c>
      <c r="L162" s="21" t="n">
        <f aca="false">1*MIN(L160,MAX(0,L161*CatchUp-K163))</f>
        <v>2402711.06179076</v>
      </c>
    </row>
    <row r="163" customFormat="false" ht="15" hidden="false" customHeight="false" outlineLevel="0" collapsed="false">
      <c r="A163" s="7" t="s">
        <v>156</v>
      </c>
      <c r="B163" s="21" t="n">
        <f aca="false">0</f>
        <v>0</v>
      </c>
      <c r="C163" s="21" t="n">
        <f aca="false">B163+C162+(C160-C162)*Promote</f>
        <v>0</v>
      </c>
      <c r="D163" s="21" t="n">
        <f aca="false">C163+D162+(D160-D162)*Promote</f>
        <v>0</v>
      </c>
      <c r="E163" s="21" t="n">
        <f aca="false">D163+E162+(E160-E162)*Promote</f>
        <v>0</v>
      </c>
      <c r="F163" s="21" t="n">
        <f aca="false">E163+F162+(F160-F162)*Promote</f>
        <v>0</v>
      </c>
      <c r="G163" s="21" t="n">
        <f aca="false">F163+G162+(G160-G162)*Promote</f>
        <v>0</v>
      </c>
      <c r="H163" s="21" t="n">
        <f aca="false">G163+H162+(H160-H162)*Promote</f>
        <v>0</v>
      </c>
      <c r="I163" s="21" t="n">
        <f aca="false">H163+I162+(I160-I162)*Promote</f>
        <v>0</v>
      </c>
      <c r="J163" s="21" t="n">
        <f aca="false">I163+J162+(J160-J162)*Promote</f>
        <v>0</v>
      </c>
      <c r="K163" s="21" t="n">
        <f aca="false">J163+K162+(K160-K162)*Promote</f>
        <v>0</v>
      </c>
      <c r="L163" s="21" t="n">
        <f aca="false">K163+L162+(L160-L162)*Promote</f>
        <v>2402711.06179076</v>
      </c>
    </row>
    <row r="164" customFormat="false" ht="15" hidden="false" customHeight="false" outlineLevel="0" collapsed="false">
      <c r="A164" s="7" t="s">
        <v>158</v>
      </c>
      <c r="B164" s="21" t="n">
        <f aca="false">-B153</f>
        <v>16445880</v>
      </c>
      <c r="C164" s="21" t="n">
        <f aca="false">C154-C159+C157</f>
        <v>16445880</v>
      </c>
      <c r="D164" s="21" t="n">
        <f aca="false">D154-D159+D157</f>
        <v>16445880</v>
      </c>
      <c r="E164" s="21" t="n">
        <f aca="false">E154-E159+E157</f>
        <v>16445880</v>
      </c>
      <c r="F164" s="21" t="n">
        <f aca="false">F154-F159+F157</f>
        <v>16445880</v>
      </c>
      <c r="G164" s="21" t="n">
        <f aca="false">G154-G159+G157</f>
        <v>16445880</v>
      </c>
      <c r="H164" s="21" t="n">
        <f aca="false">H154-H159+H157</f>
        <v>16445880</v>
      </c>
      <c r="I164" s="21" t="n">
        <f aca="false">I154-I159+I157</f>
        <v>16445880</v>
      </c>
      <c r="J164" s="21" t="n">
        <f aca="false">J154-J159+J157</f>
        <v>16445880</v>
      </c>
      <c r="K164" s="21" t="n">
        <f aca="false">K154-K159+K157</f>
        <v>16445880</v>
      </c>
      <c r="L164" s="21" t="n">
        <f aca="false">L154-L159+L157</f>
        <v>0</v>
      </c>
    </row>
    <row r="165" customFormat="false" ht="15" hidden="false" customHeight="false" outlineLevel="0" collapsed="false">
      <c r="A165" s="7" t="s">
        <v>159</v>
      </c>
      <c r="B165" s="21" t="n">
        <f aca="false">0</f>
        <v>0</v>
      </c>
      <c r="C165" s="21" t="n">
        <f aca="false">C155+C156-C158</f>
        <v>1315670.4</v>
      </c>
      <c r="D165" s="21" t="n">
        <f aca="false">D155+D156-D158</f>
        <v>2388537.6</v>
      </c>
      <c r="E165" s="21" t="n">
        <f aca="false">E155+E156-E158</f>
        <v>3316601.85028</v>
      </c>
      <c r="F165" s="21" t="n">
        <f aca="false">F155+F156-F158</f>
        <v>3783707.7730587</v>
      </c>
      <c r="G165" s="21" t="n">
        <f aca="false">G155+G156-G158</f>
        <v>4068993.15279609</v>
      </c>
      <c r="H165" s="21" t="n">
        <f aca="false">H155+H156-H158</f>
        <v>4423014.56900261</v>
      </c>
      <c r="I165" s="21" t="n">
        <f aca="false">I155+I156-I158</f>
        <v>4598735.7528129</v>
      </c>
      <c r="J165" s="21" t="n">
        <f aca="false">J155+J156-J158</f>
        <v>5194313.92700075</v>
      </c>
      <c r="K165" s="21" t="n">
        <f aca="false">K155+K156-K158</f>
        <v>5397161.87766963</v>
      </c>
      <c r="L165" s="21" t="n">
        <f aca="false">L155+L156-L158</f>
        <v>0</v>
      </c>
    </row>
    <row r="166" customFormat="false" ht="15" hidden="false" customHeight="false" outlineLevel="0" collapsed="false">
      <c r="A166" s="7" t="s">
        <v>157</v>
      </c>
      <c r="B166" s="21" t="n">
        <f aca="false">B153</f>
        <v>-16445880</v>
      </c>
      <c r="C166" s="21" t="n">
        <f aca="false">IF(C153&lt;0,C153,C158+C159+(C160-C162)*(1-Promote))</f>
        <v>-994107.292</v>
      </c>
      <c r="D166" s="21" t="n">
        <f aca="false">IF(D153&lt;0,D153,D158+D159+(D160-D162)*(1-Promote))</f>
        <v>348056.832</v>
      </c>
      <c r="E166" s="21" t="n">
        <f aca="false">IF(E153&lt;0,E153,E158+E159+(E160-E162)*(1-Promote))</f>
        <v>578689.15772</v>
      </c>
      <c r="F166" s="21" t="n">
        <f aca="false">IF(F153&lt;0,F153,F158+F159+(F160-F162)*(1-Promote))</f>
        <v>1113892.6252437</v>
      </c>
      <c r="G166" s="21" t="n">
        <f aca="false">IF(G153&lt;0,G153,G158+G159+(G160-G162)*(1-Promote))</f>
        <v>1333081.6421073</v>
      </c>
      <c r="H166" s="21" t="n">
        <f aca="false">IF(H153&lt;0,H153,H158+H159+(H160-H162)*(1-Promote))</f>
        <v>1287168.43601717</v>
      </c>
      <c r="I166" s="21" t="n">
        <f aca="false">IF(I153&lt;0,I153,I158+I159+(I160-I162)*(1-Promote))</f>
        <v>1493790.38170992</v>
      </c>
      <c r="J166" s="21" t="n">
        <f aca="false">IF(J153&lt;0,J153,J158+J159+(J160-J162)*(1-Promote))</f>
        <v>1087991.08603718</v>
      </c>
      <c r="K166" s="21" t="n">
        <f aca="false">IF(K153&lt;0,K153,K158+K159+(K160-K162)*(1-Promote))</f>
        <v>1528367.56349119</v>
      </c>
      <c r="L166" s="21" t="n">
        <f aca="false">IF(L153&lt;0,L153,L158+L159+(L160-L162)*(1-Promote))</f>
        <v>23590485.2278832</v>
      </c>
    </row>
    <row r="168" customFormat="false" ht="15" hidden="false" customHeight="false" outlineLevel="0" collapsed="false">
      <c r="A168" s="11" t="s">
        <v>242</v>
      </c>
    </row>
    <row r="169" customFormat="false" ht="15" hidden="false" customHeight="false" outlineLevel="0" collapsed="false">
      <c r="A169" s="7" t="s">
        <v>144</v>
      </c>
      <c r="B169" s="21" t="n">
        <f aca="false">B11</f>
        <v>-13834920</v>
      </c>
      <c r="C169" s="21" t="n">
        <f aca="false">C11</f>
        <v>-1108947.292</v>
      </c>
      <c r="D169" s="21" t="n">
        <f aca="false">D11</f>
        <v>233216.832</v>
      </c>
      <c r="E169" s="21" t="n">
        <f aca="false">E11</f>
        <v>463849.15772</v>
      </c>
      <c r="F169" s="21" t="n">
        <f aca="false">F11</f>
        <v>999052.6252437</v>
      </c>
      <c r="G169" s="21" t="n">
        <f aca="false">G11</f>
        <v>1218241.6421073</v>
      </c>
      <c r="H169" s="21" t="n">
        <f aca="false">H11</f>
        <v>1172328.43601717</v>
      </c>
      <c r="I169" s="21" t="n">
        <f aca="false">I11</f>
        <v>1378950.38170992</v>
      </c>
      <c r="J169" s="21" t="n">
        <f aca="false">J11</f>
        <v>973151.086037178</v>
      </c>
      <c r="K169" s="21" t="n">
        <f aca="false">K11</f>
        <v>1413527.56349119</v>
      </c>
      <c r="L169" s="21" t="n">
        <f aca="false">L11</f>
        <v>23238356.289674</v>
      </c>
    </row>
    <row r="170" customFormat="false" ht="15" hidden="false" customHeight="false" outlineLevel="0" collapsed="false">
      <c r="A170" s="7" t="s">
        <v>145</v>
      </c>
      <c r="B170" s="21" t="n">
        <f aca="false">0</f>
        <v>0</v>
      </c>
      <c r="C170" s="21" t="n">
        <f aca="false">B180</f>
        <v>13834920</v>
      </c>
      <c r="D170" s="21" t="n">
        <f aca="false">C180</f>
        <v>14943867.292</v>
      </c>
      <c r="E170" s="21" t="n">
        <f aca="false">D180</f>
        <v>14943867.292</v>
      </c>
      <c r="F170" s="21" t="n">
        <f aca="false">E180</f>
        <v>14943867.292</v>
      </c>
      <c r="G170" s="21" t="n">
        <f aca="false">F180</f>
        <v>14943867.292</v>
      </c>
      <c r="H170" s="21" t="n">
        <f aca="false">G180</f>
        <v>14943867.292</v>
      </c>
      <c r="I170" s="21" t="n">
        <f aca="false">H180</f>
        <v>14943867.292</v>
      </c>
      <c r="J170" s="21" t="n">
        <f aca="false">I180</f>
        <v>14943867.292</v>
      </c>
      <c r="K170" s="21" t="n">
        <f aca="false">J180</f>
        <v>14943867.292</v>
      </c>
      <c r="L170" s="21" t="n">
        <f aca="false">K180</f>
        <v>14943867.292</v>
      </c>
    </row>
    <row r="171" customFormat="false" ht="15" hidden="false" customHeight="false" outlineLevel="0" collapsed="false">
      <c r="A171" s="7" t="s">
        <v>146</v>
      </c>
      <c r="B171" s="21" t="n">
        <f aca="false">0</f>
        <v>0</v>
      </c>
      <c r="C171" s="21" t="n">
        <f aca="false">B181</f>
        <v>0</v>
      </c>
      <c r="D171" s="21" t="n">
        <f aca="false">C181</f>
        <v>1106793.6</v>
      </c>
      <c r="E171" s="21" t="n">
        <f aca="false">D181</f>
        <v>2157629.63936</v>
      </c>
      <c r="F171" s="21" t="n">
        <f aca="false">E181</f>
        <v>3061900.2361488</v>
      </c>
      <c r="G171" s="21" t="n">
        <f aca="false">F181</f>
        <v>3503309.013157</v>
      </c>
      <c r="H171" s="21" t="n">
        <f aca="false">G181</f>
        <v>3760841.47546226</v>
      </c>
      <c r="I171" s="21" t="n">
        <f aca="false">H181</f>
        <v>4084889.74084207</v>
      </c>
      <c r="J171" s="21" t="n">
        <f aca="false">I181</f>
        <v>4228239.92175951</v>
      </c>
      <c r="K171" s="21" t="n">
        <f aca="false">J181</f>
        <v>4788857.4128231</v>
      </c>
      <c r="L171" s="21" t="n">
        <f aca="false">K181</f>
        <v>4953947.82571776</v>
      </c>
    </row>
    <row r="172" customFormat="false" ht="15" hidden="false" customHeight="false" outlineLevel="0" collapsed="false">
      <c r="A172" s="7" t="s">
        <v>147</v>
      </c>
      <c r="B172" s="21" t="n">
        <f aca="false">0</f>
        <v>0</v>
      </c>
      <c r="C172" s="21" t="n">
        <f aca="false">(C170+C171)*Pref</f>
        <v>1106793.6</v>
      </c>
      <c r="D172" s="21" t="n">
        <f aca="false">(D170+D171)*Pref</f>
        <v>1284052.87136</v>
      </c>
      <c r="E172" s="21" t="n">
        <f aca="false">(E170+E171)*Pref</f>
        <v>1368119.7545088</v>
      </c>
      <c r="F172" s="21" t="n">
        <f aca="false">(F170+F171)*Pref</f>
        <v>1440461.4022519</v>
      </c>
      <c r="G172" s="21" t="n">
        <f aca="false">(G170+G171)*Pref</f>
        <v>1475774.10441256</v>
      </c>
      <c r="H172" s="21" t="n">
        <f aca="false">(H170+H171)*Pref</f>
        <v>1496376.70139698</v>
      </c>
      <c r="I172" s="21" t="n">
        <f aca="false">(I170+I171)*Pref</f>
        <v>1522300.56262737</v>
      </c>
      <c r="J172" s="21" t="n">
        <f aca="false">(J170+J171)*Pref</f>
        <v>1533768.57710076</v>
      </c>
      <c r="K172" s="21" t="n">
        <f aca="false">(K170+K171)*Pref</f>
        <v>1578617.97638585</v>
      </c>
      <c r="L172" s="21" t="n">
        <f aca="false">(L170+L171)*Pref</f>
        <v>1591825.20941742</v>
      </c>
    </row>
    <row r="173" customFormat="false" ht="15" hidden="false" customHeight="false" outlineLevel="0" collapsed="false">
      <c r="A173" s="7" t="s">
        <v>148</v>
      </c>
      <c r="B173" s="21" t="n">
        <f aca="false">0</f>
        <v>0</v>
      </c>
      <c r="C173" s="21" t="n">
        <f aca="false">IF(C169&lt;0,-C169*1,0)</f>
        <v>1108947.292</v>
      </c>
      <c r="D173" s="21" t="n">
        <f aca="false">IF(D169&lt;0,-D169*1,0)</f>
        <v>0</v>
      </c>
      <c r="E173" s="21" t="n">
        <f aca="false">IF(E169&lt;0,-E169*1,0)</f>
        <v>0</v>
      </c>
      <c r="F173" s="21" t="n">
        <f aca="false">IF(F169&lt;0,-F169*1,0)</f>
        <v>0</v>
      </c>
      <c r="G173" s="21" t="n">
        <f aca="false">IF(G169&lt;0,-G169*1,0)</f>
        <v>0</v>
      </c>
      <c r="H173" s="21" t="n">
        <f aca="false">IF(H169&lt;0,-H169*1,0)</f>
        <v>0</v>
      </c>
      <c r="I173" s="21" t="n">
        <f aca="false">IF(I169&lt;0,-I169*1,0)</f>
        <v>0</v>
      </c>
      <c r="J173" s="21" t="n">
        <f aca="false">IF(J169&lt;0,-J169*1,0)</f>
        <v>0</v>
      </c>
      <c r="K173" s="21" t="n">
        <f aca="false">IF(K169&lt;0,-K169*1,0)</f>
        <v>0</v>
      </c>
      <c r="L173" s="21" t="n">
        <f aca="false">IF(L169&lt;0,-L169*1,0)</f>
        <v>0</v>
      </c>
    </row>
    <row r="174" customFormat="false" ht="15" hidden="false" customHeight="false" outlineLevel="0" collapsed="false">
      <c r="A174" s="7" t="s">
        <v>149</v>
      </c>
      <c r="B174" s="21" t="n">
        <f aca="false">0</f>
        <v>0</v>
      </c>
      <c r="C174" s="21" t="n">
        <f aca="false">IF(C169&gt;0,MIN(C169,C171+C172),0)</f>
        <v>0</v>
      </c>
      <c r="D174" s="21" t="n">
        <f aca="false">IF(D169&gt;0,MIN(D169,D171+D172),0)</f>
        <v>233216.832</v>
      </c>
      <c r="E174" s="21" t="n">
        <f aca="false">IF(E169&gt;0,MIN(E169,E171+E172),0)</f>
        <v>463849.15772</v>
      </c>
      <c r="F174" s="21" t="n">
        <f aca="false">IF(F169&gt;0,MIN(F169,F171+F172),0)</f>
        <v>999052.6252437</v>
      </c>
      <c r="G174" s="21" t="n">
        <f aca="false">IF(G169&gt;0,MIN(G169,G171+G172),0)</f>
        <v>1218241.6421073</v>
      </c>
      <c r="H174" s="21" t="n">
        <f aca="false">IF(H169&gt;0,MIN(H169,H171+H172),0)</f>
        <v>1172328.43601717</v>
      </c>
      <c r="I174" s="21" t="n">
        <f aca="false">IF(I169&gt;0,MIN(I169,I171+I172),0)</f>
        <v>1378950.38170992</v>
      </c>
      <c r="J174" s="21" t="n">
        <f aca="false">IF(J169&gt;0,MIN(J169,J171+J172),0)</f>
        <v>973151.086037178</v>
      </c>
      <c r="K174" s="21" t="n">
        <f aca="false">IF(K169&gt;0,MIN(K169,K171+K172),0)</f>
        <v>1413527.56349119</v>
      </c>
      <c r="L174" s="21" t="n">
        <f aca="false">IF(L169&gt;0,MIN(L169,L171+L172),0)</f>
        <v>6545773.03513518</v>
      </c>
    </row>
    <row r="175" customFormat="false" ht="15" hidden="false" customHeight="false" outlineLevel="0" collapsed="false">
      <c r="A175" s="7" t="s">
        <v>150</v>
      </c>
      <c r="B175" s="21" t="n">
        <f aca="false">0</f>
        <v>0</v>
      </c>
      <c r="C175" s="21" t="n">
        <f aca="false">IF(C169&gt;0,MIN(C169-C174,C170),0)</f>
        <v>0</v>
      </c>
      <c r="D175" s="21" t="n">
        <f aca="false">IF(D169&gt;0,MIN(D169-D174,D170),0)</f>
        <v>0</v>
      </c>
      <c r="E175" s="21" t="n">
        <f aca="false">IF(E169&gt;0,MIN(E169-E174,E170),0)</f>
        <v>0</v>
      </c>
      <c r="F175" s="21" t="n">
        <f aca="false">IF(F169&gt;0,MIN(F169-F174,F170),0)</f>
        <v>0</v>
      </c>
      <c r="G175" s="21" t="n">
        <f aca="false">IF(G169&gt;0,MIN(G169-G174,G170),0)</f>
        <v>0</v>
      </c>
      <c r="H175" s="21" t="n">
        <f aca="false">IF(H169&gt;0,MIN(H169-H174,H170),0)</f>
        <v>0</v>
      </c>
      <c r="I175" s="21" t="n">
        <f aca="false">IF(I169&gt;0,MIN(I169-I174,I170),0)</f>
        <v>0</v>
      </c>
      <c r="J175" s="21" t="n">
        <f aca="false">IF(J169&gt;0,MIN(J169-J174,J170),0)</f>
        <v>0</v>
      </c>
      <c r="K175" s="21" t="n">
        <f aca="false">IF(K169&gt;0,MIN(K169-K174,K170),0)</f>
        <v>0</v>
      </c>
      <c r="L175" s="21" t="n">
        <f aca="false">IF(L169&gt;0,MIN(L169-L174,L170),0)</f>
        <v>14943867.292</v>
      </c>
    </row>
    <row r="176" customFormat="false" ht="15" hidden="false" customHeight="false" outlineLevel="0" collapsed="false">
      <c r="A176" s="7" t="s">
        <v>151</v>
      </c>
      <c r="B176" s="21" t="n">
        <f aca="false">0</f>
        <v>0</v>
      </c>
      <c r="C176" s="21" t="n">
        <f aca="false">IF(C169&gt;0,C169-C174-C175,0)</f>
        <v>0</v>
      </c>
      <c r="D176" s="21" t="n">
        <f aca="false">IF(D169&gt;0,D169-D174-D175,0)</f>
        <v>0</v>
      </c>
      <c r="E176" s="21" t="n">
        <f aca="false">IF(E169&gt;0,E169-E174-E175,0)</f>
        <v>0</v>
      </c>
      <c r="F176" s="21" t="n">
        <f aca="false">IF(F169&gt;0,F169-F174-F175,0)</f>
        <v>0</v>
      </c>
      <c r="G176" s="21" t="n">
        <f aca="false">IF(G169&gt;0,G169-G174-G175,0)</f>
        <v>0</v>
      </c>
      <c r="H176" s="21" t="n">
        <f aca="false">IF(H169&gt;0,H169-H174-H175,0)</f>
        <v>0</v>
      </c>
      <c r="I176" s="21" t="n">
        <f aca="false">IF(I169&gt;0,I169-I174-I175,0)</f>
        <v>0</v>
      </c>
      <c r="J176" s="21" t="n">
        <f aca="false">IF(J169&gt;0,J169-J174-J175,0)</f>
        <v>0</v>
      </c>
      <c r="K176" s="21" t="n">
        <f aca="false">IF(K169&gt;0,K169-K174-K175,0)</f>
        <v>0</v>
      </c>
      <c r="L176" s="21" t="n">
        <f aca="false">IF(L169&gt;0,L169-L174-L175,0)</f>
        <v>1748715.96253878</v>
      </c>
    </row>
    <row r="177" customFormat="false" ht="15" hidden="false" customHeight="false" outlineLevel="0" collapsed="false">
      <c r="A177" s="7" t="s">
        <v>152</v>
      </c>
      <c r="B177" s="21" t="n">
        <f aca="false">0</f>
        <v>0</v>
      </c>
      <c r="C177" s="21" t="n">
        <f aca="false">B177+C174</f>
        <v>0</v>
      </c>
      <c r="D177" s="21" t="n">
        <f aca="false">C177+D174</f>
        <v>233216.832</v>
      </c>
      <c r="E177" s="21" t="n">
        <f aca="false">D177+E174</f>
        <v>697065.98972</v>
      </c>
      <c r="F177" s="21" t="n">
        <f aca="false">E177+F174</f>
        <v>1696118.6149637</v>
      </c>
      <c r="G177" s="21" t="n">
        <f aca="false">F177+G174</f>
        <v>2914360.257071</v>
      </c>
      <c r="H177" s="21" t="n">
        <f aca="false">G177+H174</f>
        <v>4086688.69308818</v>
      </c>
      <c r="I177" s="21" t="n">
        <f aca="false">H177+I174</f>
        <v>5465639.0747981</v>
      </c>
      <c r="J177" s="21" t="n">
        <f aca="false">I177+J174</f>
        <v>6438790.16083527</v>
      </c>
      <c r="K177" s="21" t="n">
        <f aca="false">J177+K174</f>
        <v>7852317.72432646</v>
      </c>
      <c r="L177" s="21" t="n">
        <f aca="false">K177+L174</f>
        <v>14398090.7594616</v>
      </c>
    </row>
    <row r="178" customFormat="false" ht="15" hidden="false" customHeight="false" outlineLevel="0" collapsed="false">
      <c r="A178" s="7" t="s">
        <v>154</v>
      </c>
      <c r="B178" s="21" t="n">
        <f aca="false">0</f>
        <v>0</v>
      </c>
      <c r="C178" s="21" t="n">
        <f aca="false">1*MIN(C176,MAX(0,C177*CatchUp-B179))</f>
        <v>0</v>
      </c>
      <c r="D178" s="21" t="n">
        <f aca="false">1*MIN(D176,MAX(0,D177*CatchUp-C179))</f>
        <v>0</v>
      </c>
      <c r="E178" s="21" t="n">
        <f aca="false">1*MIN(E176,MAX(0,E177*CatchUp-D179))</f>
        <v>0</v>
      </c>
      <c r="F178" s="21" t="n">
        <f aca="false">1*MIN(F176,MAX(0,F177*CatchUp-E179))</f>
        <v>0</v>
      </c>
      <c r="G178" s="21" t="n">
        <f aca="false">1*MIN(G176,MAX(0,G177*CatchUp-F179))</f>
        <v>0</v>
      </c>
      <c r="H178" s="21" t="n">
        <f aca="false">1*MIN(H176,MAX(0,H177*CatchUp-G179))</f>
        <v>0</v>
      </c>
      <c r="I178" s="21" t="n">
        <f aca="false">1*MIN(I176,MAX(0,I177*CatchUp-H179))</f>
        <v>0</v>
      </c>
      <c r="J178" s="21" t="n">
        <f aca="false">1*MIN(J176,MAX(0,J177*CatchUp-I179))</f>
        <v>0</v>
      </c>
      <c r="K178" s="21" t="n">
        <f aca="false">1*MIN(K176,MAX(0,K177*CatchUp-J179))</f>
        <v>0</v>
      </c>
      <c r="L178" s="21" t="n">
        <f aca="false">1*MIN(L176,MAX(0,L177*CatchUp-K179))</f>
        <v>1748715.96253878</v>
      </c>
    </row>
    <row r="179" customFormat="false" ht="15" hidden="false" customHeight="false" outlineLevel="0" collapsed="false">
      <c r="A179" s="7" t="s">
        <v>156</v>
      </c>
      <c r="B179" s="21" t="n">
        <f aca="false">0</f>
        <v>0</v>
      </c>
      <c r="C179" s="21" t="n">
        <f aca="false">B179+C178+(C176-C178)*Promote</f>
        <v>0</v>
      </c>
      <c r="D179" s="21" t="n">
        <f aca="false">C179+D178+(D176-D178)*Promote</f>
        <v>0</v>
      </c>
      <c r="E179" s="21" t="n">
        <f aca="false">D179+E178+(E176-E178)*Promote</f>
        <v>0</v>
      </c>
      <c r="F179" s="21" t="n">
        <f aca="false">E179+F178+(F176-F178)*Promote</f>
        <v>0</v>
      </c>
      <c r="G179" s="21" t="n">
        <f aca="false">F179+G178+(G176-G178)*Promote</f>
        <v>0</v>
      </c>
      <c r="H179" s="21" t="n">
        <f aca="false">G179+H178+(H176-H178)*Promote</f>
        <v>0</v>
      </c>
      <c r="I179" s="21" t="n">
        <f aca="false">H179+I178+(I176-I178)*Promote</f>
        <v>0</v>
      </c>
      <c r="J179" s="21" t="n">
        <f aca="false">I179+J178+(J176-J178)*Promote</f>
        <v>0</v>
      </c>
      <c r="K179" s="21" t="n">
        <f aca="false">J179+K178+(K176-K178)*Promote</f>
        <v>0</v>
      </c>
      <c r="L179" s="21" t="n">
        <f aca="false">K179+L178+(L176-L178)*Promote</f>
        <v>1748715.96253878</v>
      </c>
    </row>
    <row r="180" customFormat="false" ht="15" hidden="false" customHeight="false" outlineLevel="0" collapsed="false">
      <c r="A180" s="7" t="s">
        <v>158</v>
      </c>
      <c r="B180" s="21" t="n">
        <f aca="false">-B169</f>
        <v>13834920</v>
      </c>
      <c r="C180" s="21" t="n">
        <f aca="false">C170-C175+C173</f>
        <v>14943867.292</v>
      </c>
      <c r="D180" s="21" t="n">
        <f aca="false">D170-D175+D173</f>
        <v>14943867.292</v>
      </c>
      <c r="E180" s="21" t="n">
        <f aca="false">E170-E175+E173</f>
        <v>14943867.292</v>
      </c>
      <c r="F180" s="21" t="n">
        <f aca="false">F170-F175+F173</f>
        <v>14943867.292</v>
      </c>
      <c r="G180" s="21" t="n">
        <f aca="false">G170-G175+G173</f>
        <v>14943867.292</v>
      </c>
      <c r="H180" s="21" t="n">
        <f aca="false">H170-H175+H173</f>
        <v>14943867.292</v>
      </c>
      <c r="I180" s="21" t="n">
        <f aca="false">I170-I175+I173</f>
        <v>14943867.292</v>
      </c>
      <c r="J180" s="21" t="n">
        <f aca="false">J170-J175+J173</f>
        <v>14943867.292</v>
      </c>
      <c r="K180" s="21" t="n">
        <f aca="false">K170-K175+K173</f>
        <v>14943867.292</v>
      </c>
      <c r="L180" s="21" t="n">
        <f aca="false">L170-L175+L173</f>
        <v>0</v>
      </c>
    </row>
    <row r="181" customFormat="false" ht="15" hidden="false" customHeight="false" outlineLevel="0" collapsed="false">
      <c r="A181" s="7" t="s">
        <v>159</v>
      </c>
      <c r="B181" s="21" t="n">
        <f aca="false">0</f>
        <v>0</v>
      </c>
      <c r="C181" s="21" t="n">
        <f aca="false">C171+C172-C174</f>
        <v>1106793.6</v>
      </c>
      <c r="D181" s="21" t="n">
        <f aca="false">D171+D172-D174</f>
        <v>2157629.63936</v>
      </c>
      <c r="E181" s="21" t="n">
        <f aca="false">E171+E172-E174</f>
        <v>3061900.2361488</v>
      </c>
      <c r="F181" s="21" t="n">
        <f aca="false">F171+F172-F174</f>
        <v>3503309.013157</v>
      </c>
      <c r="G181" s="21" t="n">
        <f aca="false">G171+G172-G174</f>
        <v>3760841.47546226</v>
      </c>
      <c r="H181" s="21" t="n">
        <f aca="false">H171+H172-H174</f>
        <v>4084889.74084207</v>
      </c>
      <c r="I181" s="21" t="n">
        <f aca="false">I171+I172-I174</f>
        <v>4228239.92175951</v>
      </c>
      <c r="J181" s="21" t="n">
        <f aca="false">J171+J172-J174</f>
        <v>4788857.4128231</v>
      </c>
      <c r="K181" s="21" t="n">
        <f aca="false">K171+K172-K174</f>
        <v>4953947.82571776</v>
      </c>
      <c r="L181" s="21" t="n">
        <f aca="false">L171+L172-L174</f>
        <v>0</v>
      </c>
    </row>
    <row r="182" customFormat="false" ht="15" hidden="false" customHeight="false" outlineLevel="0" collapsed="false">
      <c r="A182" s="7" t="s">
        <v>157</v>
      </c>
      <c r="B182" s="21" t="n">
        <f aca="false">B169</f>
        <v>-13834920</v>
      </c>
      <c r="C182" s="21" t="n">
        <f aca="false">IF(C169&lt;0,C169,C174+C175+(C176-C178)*(1-Promote))</f>
        <v>-1108947.292</v>
      </c>
      <c r="D182" s="21" t="n">
        <f aca="false">IF(D169&lt;0,D169,D174+D175+(D176-D178)*(1-Promote))</f>
        <v>233216.832</v>
      </c>
      <c r="E182" s="21" t="n">
        <f aca="false">IF(E169&lt;0,E169,E174+E175+(E176-E178)*(1-Promote))</f>
        <v>463849.15772</v>
      </c>
      <c r="F182" s="21" t="n">
        <f aca="false">IF(F169&lt;0,F169,F174+F175+(F176-F178)*(1-Promote))</f>
        <v>999052.6252437</v>
      </c>
      <c r="G182" s="21" t="n">
        <f aca="false">IF(G169&lt;0,G169,G174+G175+(G176-G178)*(1-Promote))</f>
        <v>1218241.6421073</v>
      </c>
      <c r="H182" s="21" t="n">
        <f aca="false">IF(H169&lt;0,H169,H174+H175+(H176-H178)*(1-Promote))</f>
        <v>1172328.43601717</v>
      </c>
      <c r="I182" s="21" t="n">
        <f aca="false">IF(I169&lt;0,I169,I174+I175+(I176-I178)*(1-Promote))</f>
        <v>1378950.38170992</v>
      </c>
      <c r="J182" s="21" t="n">
        <f aca="false">IF(J169&lt;0,J169,J174+J175+(J176-J178)*(1-Promote))</f>
        <v>973151.086037178</v>
      </c>
      <c r="K182" s="21" t="n">
        <f aca="false">IF(K169&lt;0,K169,K174+K175+(K176-K178)*(1-Promote))</f>
        <v>1413527.56349119</v>
      </c>
      <c r="L182" s="21" t="n">
        <f aca="false">IF(L169&lt;0,L169,L174+L175+(L176-L178)*(1-Promote))</f>
        <v>21489640.3271352</v>
      </c>
    </row>
    <row r="184" customFormat="false" ht="15" hidden="false" customHeight="false" outlineLevel="0" collapsed="false">
      <c r="A184" s="11" t="s">
        <v>243</v>
      </c>
    </row>
    <row r="185" customFormat="false" ht="15" hidden="false" customHeight="false" outlineLevel="0" collapsed="false">
      <c r="A185" s="7" t="s">
        <v>144</v>
      </c>
      <c r="B185" s="21" t="n">
        <f aca="false">B11</f>
        <v>-13834920</v>
      </c>
      <c r="C185" s="21" t="n">
        <f aca="false">C11</f>
        <v>-1108947.292</v>
      </c>
      <c r="D185" s="21" t="n">
        <f aca="false">D11</f>
        <v>233216.832</v>
      </c>
      <c r="E185" s="21" t="n">
        <f aca="false">E11</f>
        <v>463849.15772</v>
      </c>
      <c r="F185" s="21" t="n">
        <f aca="false">F11</f>
        <v>999052.6252437</v>
      </c>
      <c r="G185" s="21" t="n">
        <f aca="false">G11</f>
        <v>1218241.6421073</v>
      </c>
      <c r="H185" s="21" t="n">
        <f aca="false">H11</f>
        <v>1172328.43601717</v>
      </c>
      <c r="I185" s="21" t="n">
        <f aca="false">I11</f>
        <v>1378950.38170992</v>
      </c>
      <c r="J185" s="21" t="n">
        <f aca="false">J11</f>
        <v>973151.086037178</v>
      </c>
      <c r="K185" s="21" t="n">
        <f aca="false">K11</f>
        <v>1413527.56349119</v>
      </c>
      <c r="L185" s="21" t="n">
        <f aca="false">L11</f>
        <v>23238356.289674</v>
      </c>
    </row>
    <row r="186" customFormat="false" ht="15" hidden="false" customHeight="false" outlineLevel="0" collapsed="false">
      <c r="A186" s="7" t="s">
        <v>145</v>
      </c>
      <c r="B186" s="21" t="n">
        <f aca="false">0</f>
        <v>0</v>
      </c>
      <c r="C186" s="21" t="n">
        <f aca="false">B196</f>
        <v>13834920</v>
      </c>
      <c r="D186" s="21" t="n">
        <f aca="false">C196</f>
        <v>13834920</v>
      </c>
      <c r="E186" s="21" t="n">
        <f aca="false">D196</f>
        <v>13834920</v>
      </c>
      <c r="F186" s="21" t="n">
        <f aca="false">E196</f>
        <v>13834920</v>
      </c>
      <c r="G186" s="21" t="n">
        <f aca="false">F196</f>
        <v>13834920</v>
      </c>
      <c r="H186" s="21" t="n">
        <f aca="false">G196</f>
        <v>13834920</v>
      </c>
      <c r="I186" s="21" t="n">
        <f aca="false">H196</f>
        <v>13834920</v>
      </c>
      <c r="J186" s="21" t="n">
        <f aca="false">I196</f>
        <v>13834920</v>
      </c>
      <c r="K186" s="21" t="n">
        <f aca="false">J196</f>
        <v>13834920</v>
      </c>
      <c r="L186" s="21" t="n">
        <f aca="false">K196</f>
        <v>13834920</v>
      </c>
    </row>
    <row r="187" customFormat="false" ht="15" hidden="false" customHeight="false" outlineLevel="0" collapsed="false">
      <c r="A187" s="7" t="s">
        <v>146</v>
      </c>
      <c r="B187" s="21" t="n">
        <f aca="false">0</f>
        <v>0</v>
      </c>
      <c r="C187" s="21" t="n">
        <f aca="false">B197</f>
        <v>0</v>
      </c>
      <c r="D187" s="21" t="n">
        <f aca="false">C197</f>
        <v>1106793.6</v>
      </c>
      <c r="E187" s="21" t="n">
        <f aca="false">D197</f>
        <v>2068913.856</v>
      </c>
      <c r="F187" s="21" t="n">
        <f aca="false">E197</f>
        <v>2877371.40676</v>
      </c>
      <c r="G187" s="21" t="n">
        <f aca="false">F197</f>
        <v>3215302.0940571</v>
      </c>
      <c r="H187" s="21" t="n">
        <f aca="false">G197</f>
        <v>3361078.21947436</v>
      </c>
      <c r="I187" s="21" t="n">
        <f aca="false">H197</f>
        <v>3564429.64101514</v>
      </c>
      <c r="J187" s="21" t="n">
        <f aca="false">I197</f>
        <v>3577427.23058643</v>
      </c>
      <c r="K187" s="21" t="n">
        <f aca="false">J197</f>
        <v>3997263.92299617</v>
      </c>
      <c r="L187" s="21" t="n">
        <f aca="false">K197</f>
        <v>4010311.07334467</v>
      </c>
    </row>
    <row r="188" customFormat="false" ht="15" hidden="false" customHeight="false" outlineLevel="0" collapsed="false">
      <c r="A188" s="7" t="s">
        <v>147</v>
      </c>
      <c r="B188" s="21" t="n">
        <f aca="false">0</f>
        <v>0</v>
      </c>
      <c r="C188" s="21" t="n">
        <f aca="false">(C186+C187)*Pref</f>
        <v>1106793.6</v>
      </c>
      <c r="D188" s="21" t="n">
        <f aca="false">(D186+D187)*Pref</f>
        <v>1195337.088</v>
      </c>
      <c r="E188" s="21" t="n">
        <f aca="false">(E186+E187)*Pref</f>
        <v>1272306.70848</v>
      </c>
      <c r="F188" s="21" t="n">
        <f aca="false">(F186+F187)*Pref</f>
        <v>1336983.3125408</v>
      </c>
      <c r="G188" s="21" t="n">
        <f aca="false">(G186+G187)*Pref</f>
        <v>1364017.76752457</v>
      </c>
      <c r="H188" s="21" t="n">
        <f aca="false">(H186+H187)*Pref</f>
        <v>1375679.85755795</v>
      </c>
      <c r="I188" s="21" t="n">
        <f aca="false">(I186+I187)*Pref</f>
        <v>1391947.97128121</v>
      </c>
      <c r="J188" s="21" t="n">
        <f aca="false">(J186+J187)*Pref</f>
        <v>1392987.77844691</v>
      </c>
      <c r="K188" s="21" t="n">
        <f aca="false">(K186+K187)*Pref</f>
        <v>1426574.71383969</v>
      </c>
      <c r="L188" s="21" t="n">
        <f aca="false">(L186+L187)*Pref</f>
        <v>1427618.48586757</v>
      </c>
    </row>
    <row r="189" customFormat="false" ht="15" hidden="false" customHeight="false" outlineLevel="0" collapsed="false">
      <c r="A189" s="7" t="s">
        <v>148</v>
      </c>
      <c r="B189" s="21" t="n">
        <f aca="false">0</f>
        <v>0</v>
      </c>
      <c r="C189" s="21" t="n">
        <f aca="false">IF(C185&lt;0,-C185*0,0)</f>
        <v>0</v>
      </c>
      <c r="D189" s="21" t="n">
        <f aca="false">IF(D185&lt;0,-D185*0,0)</f>
        <v>0</v>
      </c>
      <c r="E189" s="21" t="n">
        <f aca="false">IF(E185&lt;0,-E185*0,0)</f>
        <v>0</v>
      </c>
      <c r="F189" s="21" t="n">
        <f aca="false">IF(F185&lt;0,-F185*0,0)</f>
        <v>0</v>
      </c>
      <c r="G189" s="21" t="n">
        <f aca="false">IF(G185&lt;0,-G185*0,0)</f>
        <v>0</v>
      </c>
      <c r="H189" s="21" t="n">
        <f aca="false">IF(H185&lt;0,-H185*0,0)</f>
        <v>0</v>
      </c>
      <c r="I189" s="21" t="n">
        <f aca="false">IF(I185&lt;0,-I185*0,0)</f>
        <v>0</v>
      </c>
      <c r="J189" s="21" t="n">
        <f aca="false">IF(J185&lt;0,-J185*0,0)</f>
        <v>0</v>
      </c>
      <c r="K189" s="21" t="n">
        <f aca="false">IF(K185&lt;0,-K185*0,0)</f>
        <v>0</v>
      </c>
      <c r="L189" s="21" t="n">
        <f aca="false">IF(L185&lt;0,-L185*0,0)</f>
        <v>0</v>
      </c>
    </row>
    <row r="190" customFormat="false" ht="15" hidden="false" customHeight="false" outlineLevel="0" collapsed="false">
      <c r="A190" s="7" t="s">
        <v>149</v>
      </c>
      <c r="B190" s="21" t="n">
        <f aca="false">0</f>
        <v>0</v>
      </c>
      <c r="C190" s="21" t="n">
        <f aca="false">IF(C185&gt;0,MIN(C185,C187+C188),0)</f>
        <v>0</v>
      </c>
      <c r="D190" s="21" t="n">
        <f aca="false">IF(D185&gt;0,MIN(D185,D187+D188),0)</f>
        <v>233216.832</v>
      </c>
      <c r="E190" s="21" t="n">
        <f aca="false">IF(E185&gt;0,MIN(E185,E187+E188),0)</f>
        <v>463849.15772</v>
      </c>
      <c r="F190" s="21" t="n">
        <f aca="false">IF(F185&gt;0,MIN(F185,F187+F188),0)</f>
        <v>999052.6252437</v>
      </c>
      <c r="G190" s="21" t="n">
        <f aca="false">IF(G185&gt;0,MIN(G185,G187+G188),0)</f>
        <v>1218241.6421073</v>
      </c>
      <c r="H190" s="21" t="n">
        <f aca="false">IF(H185&gt;0,MIN(H185,H187+H188),0)</f>
        <v>1172328.43601717</v>
      </c>
      <c r="I190" s="21" t="n">
        <f aca="false">IF(I185&gt;0,MIN(I185,I187+I188),0)</f>
        <v>1378950.38170992</v>
      </c>
      <c r="J190" s="21" t="n">
        <f aca="false">IF(J185&gt;0,MIN(J185,J187+J188),0)</f>
        <v>973151.086037178</v>
      </c>
      <c r="K190" s="21" t="n">
        <f aca="false">IF(K185&gt;0,MIN(K185,K187+K188),0)</f>
        <v>1413527.56349119</v>
      </c>
      <c r="L190" s="21" t="n">
        <f aca="false">IF(L185&gt;0,MIN(L185,L187+L188),0)</f>
        <v>5437929.55921225</v>
      </c>
    </row>
    <row r="191" customFormat="false" ht="15" hidden="false" customHeight="false" outlineLevel="0" collapsed="false">
      <c r="A191" s="7" t="s">
        <v>150</v>
      </c>
      <c r="B191" s="21" t="n">
        <f aca="false">0</f>
        <v>0</v>
      </c>
      <c r="C191" s="21" t="n">
        <f aca="false">IF(C185&gt;0,MIN(C185-C190,C186),0)</f>
        <v>0</v>
      </c>
      <c r="D191" s="21" t="n">
        <f aca="false">IF(D185&gt;0,MIN(D185-D190,D186),0)</f>
        <v>0</v>
      </c>
      <c r="E191" s="21" t="n">
        <f aca="false">IF(E185&gt;0,MIN(E185-E190,E186),0)</f>
        <v>0</v>
      </c>
      <c r="F191" s="21" t="n">
        <f aca="false">IF(F185&gt;0,MIN(F185-F190,F186),0)</f>
        <v>0</v>
      </c>
      <c r="G191" s="21" t="n">
        <f aca="false">IF(G185&gt;0,MIN(G185-G190,G186),0)</f>
        <v>0</v>
      </c>
      <c r="H191" s="21" t="n">
        <f aca="false">IF(H185&gt;0,MIN(H185-H190,H186),0)</f>
        <v>0</v>
      </c>
      <c r="I191" s="21" t="n">
        <f aca="false">IF(I185&gt;0,MIN(I185-I190,I186),0)</f>
        <v>0</v>
      </c>
      <c r="J191" s="21" t="n">
        <f aca="false">IF(J185&gt;0,MIN(J185-J190,J186),0)</f>
        <v>0</v>
      </c>
      <c r="K191" s="21" t="n">
        <f aca="false">IF(K185&gt;0,MIN(K185-K190,K186),0)</f>
        <v>0</v>
      </c>
      <c r="L191" s="21" t="n">
        <f aca="false">IF(L185&gt;0,MIN(L185-L190,L186),0)</f>
        <v>13834920</v>
      </c>
    </row>
    <row r="192" customFormat="false" ht="15" hidden="false" customHeight="false" outlineLevel="0" collapsed="false">
      <c r="A192" s="7" t="s">
        <v>151</v>
      </c>
      <c r="B192" s="21" t="n">
        <f aca="false">0</f>
        <v>0</v>
      </c>
      <c r="C192" s="21" t="n">
        <f aca="false">IF(C185&gt;0,C185-C190-C191,0)</f>
        <v>0</v>
      </c>
      <c r="D192" s="21" t="n">
        <f aca="false">IF(D185&gt;0,D185-D190-D191,0)</f>
        <v>0</v>
      </c>
      <c r="E192" s="21" t="n">
        <f aca="false">IF(E185&gt;0,E185-E190-E191,0)</f>
        <v>0</v>
      </c>
      <c r="F192" s="21" t="n">
        <f aca="false">IF(F185&gt;0,F185-F190-F191,0)</f>
        <v>0</v>
      </c>
      <c r="G192" s="21" t="n">
        <f aca="false">IF(G185&gt;0,G185-G190-G191,0)</f>
        <v>0</v>
      </c>
      <c r="H192" s="21" t="n">
        <f aca="false">IF(H185&gt;0,H185-H190-H191,0)</f>
        <v>0</v>
      </c>
      <c r="I192" s="21" t="n">
        <f aca="false">IF(I185&gt;0,I185-I190-I191,0)</f>
        <v>0</v>
      </c>
      <c r="J192" s="21" t="n">
        <f aca="false">IF(J185&gt;0,J185-J190-J191,0)</f>
        <v>0</v>
      </c>
      <c r="K192" s="21" t="n">
        <f aca="false">IF(K185&gt;0,K185-K190-K191,0)</f>
        <v>0</v>
      </c>
      <c r="L192" s="21" t="n">
        <f aca="false">IF(L185&gt;0,L185-L190-L191,0)</f>
        <v>3965506.73046172</v>
      </c>
    </row>
    <row r="193" customFormat="false" ht="15" hidden="false" customHeight="false" outlineLevel="0" collapsed="false">
      <c r="A193" s="7" t="s">
        <v>152</v>
      </c>
      <c r="B193" s="21" t="n">
        <f aca="false">0</f>
        <v>0</v>
      </c>
      <c r="C193" s="21" t="n">
        <f aca="false">B193+C190</f>
        <v>0</v>
      </c>
      <c r="D193" s="21" t="n">
        <f aca="false">C193+D190</f>
        <v>233216.832</v>
      </c>
      <c r="E193" s="21" t="n">
        <f aca="false">D193+E190</f>
        <v>697065.98972</v>
      </c>
      <c r="F193" s="21" t="n">
        <f aca="false">E193+F190</f>
        <v>1696118.6149637</v>
      </c>
      <c r="G193" s="21" t="n">
        <f aca="false">F193+G190</f>
        <v>2914360.257071</v>
      </c>
      <c r="H193" s="21" t="n">
        <f aca="false">G193+H190</f>
        <v>4086688.69308818</v>
      </c>
      <c r="I193" s="21" t="n">
        <f aca="false">H193+I190</f>
        <v>5465639.0747981</v>
      </c>
      <c r="J193" s="21" t="n">
        <f aca="false">I193+J190</f>
        <v>6438790.16083527</v>
      </c>
      <c r="K193" s="21" t="n">
        <f aca="false">J193+K190</f>
        <v>7852317.72432646</v>
      </c>
      <c r="L193" s="21" t="n">
        <f aca="false">K193+L190</f>
        <v>13290247.2835387</v>
      </c>
    </row>
    <row r="194" customFormat="false" ht="15" hidden="false" customHeight="false" outlineLevel="0" collapsed="false">
      <c r="A194" s="7" t="s">
        <v>154</v>
      </c>
      <c r="B194" s="21" t="n">
        <f aca="false">0</f>
        <v>0</v>
      </c>
      <c r="C194" s="21" t="n">
        <f aca="false">1*MIN(C192,MAX(0,C193*CatchUp-B195))</f>
        <v>0</v>
      </c>
      <c r="D194" s="21" t="n">
        <f aca="false">1*MIN(D192,MAX(0,D193*CatchUp-C195))</f>
        <v>0</v>
      </c>
      <c r="E194" s="21" t="n">
        <f aca="false">1*MIN(E192,MAX(0,E193*CatchUp-D195))</f>
        <v>0</v>
      </c>
      <c r="F194" s="21" t="n">
        <f aca="false">1*MIN(F192,MAX(0,F193*CatchUp-E195))</f>
        <v>0</v>
      </c>
      <c r="G194" s="21" t="n">
        <f aca="false">1*MIN(G192,MAX(0,G193*CatchUp-F195))</f>
        <v>0</v>
      </c>
      <c r="H194" s="21" t="n">
        <f aca="false">1*MIN(H192,MAX(0,H193*CatchUp-G195))</f>
        <v>0</v>
      </c>
      <c r="I194" s="21" t="n">
        <f aca="false">1*MIN(I192,MAX(0,I193*CatchUp-H195))</f>
        <v>0</v>
      </c>
      <c r="J194" s="21" t="n">
        <f aca="false">1*MIN(J192,MAX(0,J193*CatchUp-I195))</f>
        <v>0</v>
      </c>
      <c r="K194" s="21" t="n">
        <f aca="false">1*MIN(K192,MAX(0,K193*CatchUp-J195))</f>
        <v>0</v>
      </c>
      <c r="L194" s="21" t="n">
        <f aca="false">1*MIN(L192,MAX(0,L193*CatchUp-K195))</f>
        <v>3322561.82088468</v>
      </c>
    </row>
    <row r="195" customFormat="false" ht="15" hidden="false" customHeight="false" outlineLevel="0" collapsed="false">
      <c r="A195" s="7" t="s">
        <v>156</v>
      </c>
      <c r="B195" s="21" t="n">
        <f aca="false">0</f>
        <v>0</v>
      </c>
      <c r="C195" s="21" t="n">
        <f aca="false">B195+C194+(C192-C194)*Promote</f>
        <v>0</v>
      </c>
      <c r="D195" s="21" t="n">
        <f aca="false">C195+D194+(D192-D194)*Promote</f>
        <v>0</v>
      </c>
      <c r="E195" s="21" t="n">
        <f aca="false">D195+E194+(E192-E194)*Promote</f>
        <v>0</v>
      </c>
      <c r="F195" s="21" t="n">
        <f aca="false">E195+F194+(F192-F194)*Promote</f>
        <v>0</v>
      </c>
      <c r="G195" s="21" t="n">
        <f aca="false">F195+G194+(G192-G194)*Promote</f>
        <v>0</v>
      </c>
      <c r="H195" s="21" t="n">
        <f aca="false">G195+H194+(H192-H194)*Promote</f>
        <v>0</v>
      </c>
      <c r="I195" s="21" t="n">
        <f aca="false">H195+I194+(I192-I194)*Promote</f>
        <v>0</v>
      </c>
      <c r="J195" s="21" t="n">
        <f aca="false">I195+J194+(J192-J194)*Promote</f>
        <v>0</v>
      </c>
      <c r="K195" s="21" t="n">
        <f aca="false">J195+K194+(K192-K194)*Promote</f>
        <v>0</v>
      </c>
      <c r="L195" s="21" t="n">
        <f aca="false">K195+L194+(L192-L194)*Promote</f>
        <v>3451150.80280009</v>
      </c>
    </row>
    <row r="196" customFormat="false" ht="15" hidden="false" customHeight="false" outlineLevel="0" collapsed="false">
      <c r="A196" s="7" t="s">
        <v>158</v>
      </c>
      <c r="B196" s="21" t="n">
        <f aca="false">-B185</f>
        <v>13834920</v>
      </c>
      <c r="C196" s="21" t="n">
        <f aca="false">C186-C191+C189</f>
        <v>13834920</v>
      </c>
      <c r="D196" s="21" t="n">
        <f aca="false">D186-D191+D189</f>
        <v>13834920</v>
      </c>
      <c r="E196" s="21" t="n">
        <f aca="false">E186-E191+E189</f>
        <v>13834920</v>
      </c>
      <c r="F196" s="21" t="n">
        <f aca="false">F186-F191+F189</f>
        <v>13834920</v>
      </c>
      <c r="G196" s="21" t="n">
        <f aca="false">G186-G191+G189</f>
        <v>13834920</v>
      </c>
      <c r="H196" s="21" t="n">
        <f aca="false">H186-H191+H189</f>
        <v>13834920</v>
      </c>
      <c r="I196" s="21" t="n">
        <f aca="false">I186-I191+I189</f>
        <v>13834920</v>
      </c>
      <c r="J196" s="21" t="n">
        <f aca="false">J186-J191+J189</f>
        <v>13834920</v>
      </c>
      <c r="K196" s="21" t="n">
        <f aca="false">K186-K191+K189</f>
        <v>13834920</v>
      </c>
      <c r="L196" s="21" t="n">
        <f aca="false">L186-L191+L189</f>
        <v>0</v>
      </c>
    </row>
    <row r="197" customFormat="false" ht="15" hidden="false" customHeight="false" outlineLevel="0" collapsed="false">
      <c r="A197" s="7" t="s">
        <v>159</v>
      </c>
      <c r="B197" s="21" t="n">
        <f aca="false">0</f>
        <v>0</v>
      </c>
      <c r="C197" s="21" t="n">
        <f aca="false">C187+C188-C190</f>
        <v>1106793.6</v>
      </c>
      <c r="D197" s="21" t="n">
        <f aca="false">D187+D188-D190</f>
        <v>2068913.856</v>
      </c>
      <c r="E197" s="21" t="n">
        <f aca="false">E187+E188-E190</f>
        <v>2877371.40676</v>
      </c>
      <c r="F197" s="21" t="n">
        <f aca="false">F187+F188-F190</f>
        <v>3215302.0940571</v>
      </c>
      <c r="G197" s="21" t="n">
        <f aca="false">G187+G188-G190</f>
        <v>3361078.21947436</v>
      </c>
      <c r="H197" s="21" t="n">
        <f aca="false">H187+H188-H190</f>
        <v>3564429.64101514</v>
      </c>
      <c r="I197" s="21" t="n">
        <f aca="false">I187+I188-I190</f>
        <v>3577427.23058643</v>
      </c>
      <c r="J197" s="21" t="n">
        <f aca="false">J187+J188-J190</f>
        <v>3997263.92299617</v>
      </c>
      <c r="K197" s="21" t="n">
        <f aca="false">K187+K188-K190</f>
        <v>4010311.07334467</v>
      </c>
      <c r="L197" s="21" t="n">
        <f aca="false">L187+L188-L190</f>
        <v>0</v>
      </c>
    </row>
    <row r="198" customFormat="false" ht="15" hidden="false" customHeight="false" outlineLevel="0" collapsed="false">
      <c r="A198" s="7" t="s">
        <v>157</v>
      </c>
      <c r="B198" s="21" t="n">
        <f aca="false">B185</f>
        <v>-13834920</v>
      </c>
      <c r="C198" s="21" t="n">
        <f aca="false">IF(C185&lt;0,C185,C190+C191+(C192-C194)*(1-Promote))</f>
        <v>-1108947.292</v>
      </c>
      <c r="D198" s="21" t="n">
        <f aca="false">IF(D185&lt;0,D185,D190+D191+(D192-D194)*(1-Promote))</f>
        <v>233216.832</v>
      </c>
      <c r="E198" s="21" t="n">
        <f aca="false">IF(E185&lt;0,E185,E190+E191+(E192-E194)*(1-Promote))</f>
        <v>463849.15772</v>
      </c>
      <c r="F198" s="21" t="n">
        <f aca="false">IF(F185&lt;0,F185,F190+F191+(F192-F194)*(1-Promote))</f>
        <v>999052.6252437</v>
      </c>
      <c r="G198" s="21" t="n">
        <f aca="false">IF(G185&lt;0,G185,G190+G191+(G192-G194)*(1-Promote))</f>
        <v>1218241.6421073</v>
      </c>
      <c r="H198" s="21" t="n">
        <f aca="false">IF(H185&lt;0,H185,H190+H191+(H192-H194)*(1-Promote))</f>
        <v>1172328.43601717</v>
      </c>
      <c r="I198" s="21" t="n">
        <f aca="false">IF(I185&lt;0,I185,I190+I191+(I192-I194)*(1-Promote))</f>
        <v>1378950.38170992</v>
      </c>
      <c r="J198" s="21" t="n">
        <f aca="false">IF(J185&lt;0,J185,J190+J191+(J192-J194)*(1-Promote))</f>
        <v>973151.086037178</v>
      </c>
      <c r="K198" s="21" t="n">
        <f aca="false">IF(K185&lt;0,K185,K190+K191+(K192-K194)*(1-Promote))</f>
        <v>1413527.56349119</v>
      </c>
      <c r="L198" s="21" t="n">
        <f aca="false">IF(L185&lt;0,L185,L190+L191+(L192-L194)*(1-Promote))</f>
        <v>19787205.4868739</v>
      </c>
    </row>
    <row r="200" customFormat="false" ht="15" hidden="false" customHeight="false" outlineLevel="0" collapsed="false">
      <c r="A200" s="11" t="s">
        <v>244</v>
      </c>
    </row>
    <row r="201" customFormat="false" ht="15" hidden="false" customHeight="false" outlineLevel="0" collapsed="false">
      <c r="A201" s="7" t="s">
        <v>144</v>
      </c>
      <c r="B201" s="21" t="n">
        <f aca="false">B12</f>
        <v>-11223960</v>
      </c>
      <c r="C201" s="21" t="n">
        <f aca="false">C12</f>
        <v>-1223787.292</v>
      </c>
      <c r="D201" s="21" t="n">
        <f aca="false">D12</f>
        <v>118376.832</v>
      </c>
      <c r="E201" s="21" t="n">
        <f aca="false">E12</f>
        <v>349009.15772</v>
      </c>
      <c r="F201" s="21" t="n">
        <f aca="false">F12</f>
        <v>884212.6252437</v>
      </c>
      <c r="G201" s="21" t="n">
        <f aca="false">G12</f>
        <v>1103401.6421073</v>
      </c>
      <c r="H201" s="21" t="n">
        <f aca="false">H12</f>
        <v>1057488.43601717</v>
      </c>
      <c r="I201" s="21" t="n">
        <f aca="false">I12</f>
        <v>1264110.38170992</v>
      </c>
      <c r="J201" s="21" t="n">
        <f aca="false">J12</f>
        <v>858311.086037178</v>
      </c>
      <c r="K201" s="21" t="n">
        <f aca="false">K12</f>
        <v>1298687.56349119</v>
      </c>
      <c r="L201" s="21" t="n">
        <f aca="false">L12</f>
        <v>20483516.289674</v>
      </c>
    </row>
    <row r="202" customFormat="false" ht="15" hidden="false" customHeight="false" outlineLevel="0" collapsed="false">
      <c r="A202" s="7" t="s">
        <v>145</v>
      </c>
      <c r="B202" s="21" t="n">
        <f aca="false">0</f>
        <v>0</v>
      </c>
      <c r="C202" s="21" t="n">
        <f aca="false">B212</f>
        <v>11223960</v>
      </c>
      <c r="D202" s="21" t="n">
        <f aca="false">C212</f>
        <v>12447747.292</v>
      </c>
      <c r="E202" s="21" t="n">
        <f aca="false">D212</f>
        <v>12447747.292</v>
      </c>
      <c r="F202" s="21" t="n">
        <f aca="false">E212</f>
        <v>12447747.292</v>
      </c>
      <c r="G202" s="21" t="n">
        <f aca="false">F212</f>
        <v>12447747.292</v>
      </c>
      <c r="H202" s="21" t="n">
        <f aca="false">G212</f>
        <v>12447747.292</v>
      </c>
      <c r="I202" s="21" t="n">
        <f aca="false">H212</f>
        <v>12447747.292</v>
      </c>
      <c r="J202" s="21" t="n">
        <f aca="false">I212</f>
        <v>12447747.292</v>
      </c>
      <c r="K202" s="21" t="n">
        <f aca="false">J212</f>
        <v>12447747.292</v>
      </c>
      <c r="L202" s="21" t="n">
        <f aca="false">K212</f>
        <v>12447747.292</v>
      </c>
    </row>
    <row r="203" customFormat="false" ht="15" hidden="false" customHeight="false" outlineLevel="0" collapsed="false">
      <c r="A203" s="7" t="s">
        <v>146</v>
      </c>
      <c r="B203" s="21" t="n">
        <f aca="false">0</f>
        <v>0</v>
      </c>
      <c r="C203" s="21" t="n">
        <f aca="false">B213</f>
        <v>0</v>
      </c>
      <c r="D203" s="21" t="n">
        <f aca="false">C213</f>
        <v>897916.8</v>
      </c>
      <c r="E203" s="21" t="n">
        <f aca="false">D213</f>
        <v>1847193.09536</v>
      </c>
      <c r="F203" s="21" t="n">
        <f aca="false">E213</f>
        <v>2641779.1686288</v>
      </c>
      <c r="G203" s="21" t="n">
        <f aca="false">F213</f>
        <v>2964728.6602354</v>
      </c>
      <c r="H203" s="21" t="n">
        <f aca="false">G213</f>
        <v>3094325.09430693</v>
      </c>
      <c r="I203" s="21" t="n">
        <f aca="false">H213</f>
        <v>3280202.44919431</v>
      </c>
      <c r="J203" s="21" t="n">
        <f aca="false">I213</f>
        <v>3274328.04677994</v>
      </c>
      <c r="K203" s="21" t="n">
        <f aca="false">J213</f>
        <v>3673782.98784516</v>
      </c>
      <c r="L203" s="21" t="n">
        <f aca="false">K213</f>
        <v>3664817.84674158</v>
      </c>
    </row>
    <row r="204" customFormat="false" ht="15" hidden="false" customHeight="false" outlineLevel="0" collapsed="false">
      <c r="A204" s="7" t="s">
        <v>147</v>
      </c>
      <c r="B204" s="21" t="n">
        <f aca="false">0</f>
        <v>0</v>
      </c>
      <c r="C204" s="21" t="n">
        <f aca="false">(C202+C203)*Pref</f>
        <v>897916.8</v>
      </c>
      <c r="D204" s="21" t="n">
        <f aca="false">(D202+D203)*Pref</f>
        <v>1067653.12736</v>
      </c>
      <c r="E204" s="21" t="n">
        <f aca="false">(E202+E203)*Pref</f>
        <v>1143595.2309888</v>
      </c>
      <c r="F204" s="21" t="n">
        <f aca="false">(F202+F203)*Pref</f>
        <v>1207162.1168503</v>
      </c>
      <c r="G204" s="21" t="n">
        <f aca="false">(G202+G203)*Pref</f>
        <v>1232998.07617883</v>
      </c>
      <c r="H204" s="21" t="n">
        <f aca="false">(H202+H203)*Pref</f>
        <v>1243365.79090455</v>
      </c>
      <c r="I204" s="21" t="n">
        <f aca="false">(I202+I203)*Pref</f>
        <v>1258235.97929555</v>
      </c>
      <c r="J204" s="21" t="n">
        <f aca="false">(J202+J203)*Pref</f>
        <v>1257766.0271024</v>
      </c>
      <c r="K204" s="21" t="n">
        <f aca="false">(K202+K203)*Pref</f>
        <v>1289722.42238761</v>
      </c>
      <c r="L204" s="21" t="n">
        <f aca="false">(L202+L203)*Pref</f>
        <v>1289005.21109933</v>
      </c>
    </row>
    <row r="205" customFormat="false" ht="15" hidden="false" customHeight="false" outlineLevel="0" collapsed="false">
      <c r="A205" s="7" t="s">
        <v>148</v>
      </c>
      <c r="B205" s="21" t="n">
        <f aca="false">0</f>
        <v>0</v>
      </c>
      <c r="C205" s="21" t="n">
        <f aca="false">IF(C201&lt;0,-C201*1,0)</f>
        <v>1223787.292</v>
      </c>
      <c r="D205" s="21" t="n">
        <f aca="false">IF(D201&lt;0,-D201*1,0)</f>
        <v>0</v>
      </c>
      <c r="E205" s="21" t="n">
        <f aca="false">IF(E201&lt;0,-E201*1,0)</f>
        <v>0</v>
      </c>
      <c r="F205" s="21" t="n">
        <f aca="false">IF(F201&lt;0,-F201*1,0)</f>
        <v>0</v>
      </c>
      <c r="G205" s="21" t="n">
        <f aca="false">IF(G201&lt;0,-G201*1,0)</f>
        <v>0</v>
      </c>
      <c r="H205" s="21" t="n">
        <f aca="false">IF(H201&lt;0,-H201*1,0)</f>
        <v>0</v>
      </c>
      <c r="I205" s="21" t="n">
        <f aca="false">IF(I201&lt;0,-I201*1,0)</f>
        <v>0</v>
      </c>
      <c r="J205" s="21" t="n">
        <f aca="false">IF(J201&lt;0,-J201*1,0)</f>
        <v>0</v>
      </c>
      <c r="K205" s="21" t="n">
        <f aca="false">IF(K201&lt;0,-K201*1,0)</f>
        <v>0</v>
      </c>
      <c r="L205" s="21" t="n">
        <f aca="false">IF(L201&lt;0,-L201*1,0)</f>
        <v>0</v>
      </c>
    </row>
    <row r="206" customFormat="false" ht="15" hidden="false" customHeight="false" outlineLevel="0" collapsed="false">
      <c r="A206" s="7" t="s">
        <v>149</v>
      </c>
      <c r="B206" s="21" t="n">
        <f aca="false">0</f>
        <v>0</v>
      </c>
      <c r="C206" s="21" t="n">
        <f aca="false">IF(C201&gt;0,MIN(C201,C203+C204),0)</f>
        <v>0</v>
      </c>
      <c r="D206" s="21" t="n">
        <f aca="false">IF(D201&gt;0,MIN(D201,D203+D204),0)</f>
        <v>118376.832</v>
      </c>
      <c r="E206" s="21" t="n">
        <f aca="false">IF(E201&gt;0,MIN(E201,E203+E204),0)</f>
        <v>349009.15772</v>
      </c>
      <c r="F206" s="21" t="n">
        <f aca="false">IF(F201&gt;0,MIN(F201,F203+F204),0)</f>
        <v>884212.6252437</v>
      </c>
      <c r="G206" s="21" t="n">
        <f aca="false">IF(G201&gt;0,MIN(G201,G203+G204),0)</f>
        <v>1103401.6421073</v>
      </c>
      <c r="H206" s="21" t="n">
        <f aca="false">IF(H201&gt;0,MIN(H201,H203+H204),0)</f>
        <v>1057488.43601717</v>
      </c>
      <c r="I206" s="21" t="n">
        <f aca="false">IF(I201&gt;0,MIN(I201,I203+I204),0)</f>
        <v>1264110.38170992</v>
      </c>
      <c r="J206" s="21" t="n">
        <f aca="false">IF(J201&gt;0,MIN(J201,J203+J204),0)</f>
        <v>858311.086037178</v>
      </c>
      <c r="K206" s="21" t="n">
        <f aca="false">IF(K201&gt;0,MIN(K201,K203+K204),0)</f>
        <v>1298687.56349119</v>
      </c>
      <c r="L206" s="21" t="n">
        <f aca="false">IF(L201&gt;0,MIN(L201,L203+L204),0)</f>
        <v>4953823.05784091</v>
      </c>
    </row>
    <row r="207" customFormat="false" ht="15" hidden="false" customHeight="false" outlineLevel="0" collapsed="false">
      <c r="A207" s="7" t="s">
        <v>150</v>
      </c>
      <c r="B207" s="21" t="n">
        <f aca="false">0</f>
        <v>0</v>
      </c>
      <c r="C207" s="21" t="n">
        <f aca="false">IF(C201&gt;0,MIN(C201-C206,C202),0)</f>
        <v>0</v>
      </c>
      <c r="D207" s="21" t="n">
        <f aca="false">IF(D201&gt;0,MIN(D201-D206,D202),0)</f>
        <v>0</v>
      </c>
      <c r="E207" s="21" t="n">
        <f aca="false">IF(E201&gt;0,MIN(E201-E206,E202),0)</f>
        <v>0</v>
      </c>
      <c r="F207" s="21" t="n">
        <f aca="false">IF(F201&gt;0,MIN(F201-F206,F202),0)</f>
        <v>0</v>
      </c>
      <c r="G207" s="21" t="n">
        <f aca="false">IF(G201&gt;0,MIN(G201-G206,G202),0)</f>
        <v>0</v>
      </c>
      <c r="H207" s="21" t="n">
        <f aca="false">IF(H201&gt;0,MIN(H201-H206,H202),0)</f>
        <v>0</v>
      </c>
      <c r="I207" s="21" t="n">
        <f aca="false">IF(I201&gt;0,MIN(I201-I206,I202),0)</f>
        <v>0</v>
      </c>
      <c r="J207" s="21" t="n">
        <f aca="false">IF(J201&gt;0,MIN(J201-J206,J202),0)</f>
        <v>0</v>
      </c>
      <c r="K207" s="21" t="n">
        <f aca="false">IF(K201&gt;0,MIN(K201-K206,K202),0)</f>
        <v>0</v>
      </c>
      <c r="L207" s="21" t="n">
        <f aca="false">IF(L201&gt;0,MIN(L201-L206,L202),0)</f>
        <v>12447747.292</v>
      </c>
    </row>
    <row r="208" customFormat="false" ht="15" hidden="false" customHeight="false" outlineLevel="0" collapsed="false">
      <c r="A208" s="7" t="s">
        <v>151</v>
      </c>
      <c r="B208" s="21" t="n">
        <f aca="false">0</f>
        <v>0</v>
      </c>
      <c r="C208" s="21" t="n">
        <f aca="false">IF(C201&gt;0,C201-C206-C207,0)</f>
        <v>0</v>
      </c>
      <c r="D208" s="21" t="n">
        <f aca="false">IF(D201&gt;0,D201-D206-D207,0)</f>
        <v>0</v>
      </c>
      <c r="E208" s="21" t="n">
        <f aca="false">IF(E201&gt;0,E201-E206-E207,0)</f>
        <v>0</v>
      </c>
      <c r="F208" s="21" t="n">
        <f aca="false">IF(F201&gt;0,F201-F206-F207,0)</f>
        <v>0</v>
      </c>
      <c r="G208" s="21" t="n">
        <f aca="false">IF(G201&gt;0,G201-G206-G207,0)</f>
        <v>0</v>
      </c>
      <c r="H208" s="21" t="n">
        <f aca="false">IF(H201&gt;0,H201-H206-H207,0)</f>
        <v>0</v>
      </c>
      <c r="I208" s="21" t="n">
        <f aca="false">IF(I201&gt;0,I201-I206-I207,0)</f>
        <v>0</v>
      </c>
      <c r="J208" s="21" t="n">
        <f aca="false">IF(J201&gt;0,J201-J206-J207,0)</f>
        <v>0</v>
      </c>
      <c r="K208" s="21" t="n">
        <f aca="false">IF(K201&gt;0,K201-K206-K207,0)</f>
        <v>0</v>
      </c>
      <c r="L208" s="21" t="n">
        <f aca="false">IF(L201&gt;0,L201-L206-L207,0)</f>
        <v>3081945.93983305</v>
      </c>
    </row>
    <row r="209" customFormat="false" ht="15" hidden="false" customHeight="false" outlineLevel="0" collapsed="false">
      <c r="A209" s="7" t="s">
        <v>152</v>
      </c>
      <c r="B209" s="21" t="n">
        <f aca="false">0</f>
        <v>0</v>
      </c>
      <c r="C209" s="21" t="n">
        <f aca="false">B209+C206</f>
        <v>0</v>
      </c>
      <c r="D209" s="21" t="n">
        <f aca="false">C209+D206</f>
        <v>118376.832</v>
      </c>
      <c r="E209" s="21" t="n">
        <f aca="false">D209+E206</f>
        <v>467385.98972</v>
      </c>
      <c r="F209" s="21" t="n">
        <f aca="false">E209+F206</f>
        <v>1351598.6149637</v>
      </c>
      <c r="G209" s="21" t="n">
        <f aca="false">F209+G206</f>
        <v>2455000.257071</v>
      </c>
      <c r="H209" s="21" t="n">
        <f aca="false">G209+H206</f>
        <v>3512488.69308818</v>
      </c>
      <c r="I209" s="21" t="n">
        <f aca="false">H209+I206</f>
        <v>4776599.0747981</v>
      </c>
      <c r="J209" s="21" t="n">
        <f aca="false">I209+J206</f>
        <v>5634910.16083527</v>
      </c>
      <c r="K209" s="21" t="n">
        <f aca="false">J209+K206</f>
        <v>6933597.72432646</v>
      </c>
      <c r="L209" s="21" t="n">
        <f aca="false">K209+L206</f>
        <v>11887420.7821674</v>
      </c>
    </row>
    <row r="210" customFormat="false" ht="15" hidden="false" customHeight="false" outlineLevel="0" collapsed="false">
      <c r="A210" s="7" t="s">
        <v>154</v>
      </c>
      <c r="B210" s="21" t="n">
        <f aca="false">0</f>
        <v>0</v>
      </c>
      <c r="C210" s="21" t="n">
        <f aca="false">1*MIN(C208,MAX(0,C209*CatchUp-B211))</f>
        <v>0</v>
      </c>
      <c r="D210" s="21" t="n">
        <f aca="false">1*MIN(D208,MAX(0,D209*CatchUp-C211))</f>
        <v>0</v>
      </c>
      <c r="E210" s="21" t="n">
        <f aca="false">1*MIN(E208,MAX(0,E209*CatchUp-D211))</f>
        <v>0</v>
      </c>
      <c r="F210" s="21" t="n">
        <f aca="false">1*MIN(F208,MAX(0,F209*CatchUp-E211))</f>
        <v>0</v>
      </c>
      <c r="G210" s="21" t="n">
        <f aca="false">1*MIN(G208,MAX(0,G209*CatchUp-F211))</f>
        <v>0</v>
      </c>
      <c r="H210" s="21" t="n">
        <f aca="false">1*MIN(H208,MAX(0,H209*CatchUp-G211))</f>
        <v>0</v>
      </c>
      <c r="I210" s="21" t="n">
        <f aca="false">1*MIN(I208,MAX(0,I209*CatchUp-H211))</f>
        <v>0</v>
      </c>
      <c r="J210" s="21" t="n">
        <f aca="false">1*MIN(J208,MAX(0,J209*CatchUp-I211))</f>
        <v>0</v>
      </c>
      <c r="K210" s="21" t="n">
        <f aca="false">1*MIN(K208,MAX(0,K209*CatchUp-J211))</f>
        <v>0</v>
      </c>
      <c r="L210" s="21" t="n">
        <f aca="false">1*MIN(L208,MAX(0,L209*CatchUp-K211))</f>
        <v>2971855.19554184</v>
      </c>
    </row>
    <row r="211" customFormat="false" ht="15" hidden="false" customHeight="false" outlineLevel="0" collapsed="false">
      <c r="A211" s="7" t="s">
        <v>156</v>
      </c>
      <c r="B211" s="21" t="n">
        <f aca="false">0</f>
        <v>0</v>
      </c>
      <c r="C211" s="21" t="n">
        <f aca="false">B211+C210+(C208-C210)*Promote</f>
        <v>0</v>
      </c>
      <c r="D211" s="21" t="n">
        <f aca="false">C211+D210+(D208-D210)*Promote</f>
        <v>0</v>
      </c>
      <c r="E211" s="21" t="n">
        <f aca="false">D211+E210+(E208-E210)*Promote</f>
        <v>0</v>
      </c>
      <c r="F211" s="21" t="n">
        <f aca="false">E211+F210+(F208-F210)*Promote</f>
        <v>0</v>
      </c>
      <c r="G211" s="21" t="n">
        <f aca="false">F211+G210+(G208-G210)*Promote</f>
        <v>0</v>
      </c>
      <c r="H211" s="21" t="n">
        <f aca="false">G211+H210+(H208-H210)*Promote</f>
        <v>0</v>
      </c>
      <c r="I211" s="21" t="n">
        <f aca="false">H211+I210+(I208-I210)*Promote</f>
        <v>0</v>
      </c>
      <c r="J211" s="21" t="n">
        <f aca="false">I211+J210+(J208-J210)*Promote</f>
        <v>0</v>
      </c>
      <c r="K211" s="21" t="n">
        <f aca="false">J211+K210+(K208-K210)*Promote</f>
        <v>0</v>
      </c>
      <c r="L211" s="21" t="n">
        <f aca="false">K211+L210+(L208-L210)*Promote</f>
        <v>2993873.34440008</v>
      </c>
    </row>
    <row r="212" customFormat="false" ht="15" hidden="false" customHeight="false" outlineLevel="0" collapsed="false">
      <c r="A212" s="7" t="s">
        <v>158</v>
      </c>
      <c r="B212" s="21" t="n">
        <f aca="false">-B201</f>
        <v>11223960</v>
      </c>
      <c r="C212" s="21" t="n">
        <f aca="false">C202-C207+C205</f>
        <v>12447747.292</v>
      </c>
      <c r="D212" s="21" t="n">
        <f aca="false">D202-D207+D205</f>
        <v>12447747.292</v>
      </c>
      <c r="E212" s="21" t="n">
        <f aca="false">E202-E207+E205</f>
        <v>12447747.292</v>
      </c>
      <c r="F212" s="21" t="n">
        <f aca="false">F202-F207+F205</f>
        <v>12447747.292</v>
      </c>
      <c r="G212" s="21" t="n">
        <f aca="false">G202-G207+G205</f>
        <v>12447747.292</v>
      </c>
      <c r="H212" s="21" t="n">
        <f aca="false">H202-H207+H205</f>
        <v>12447747.292</v>
      </c>
      <c r="I212" s="21" t="n">
        <f aca="false">I202-I207+I205</f>
        <v>12447747.292</v>
      </c>
      <c r="J212" s="21" t="n">
        <f aca="false">J202-J207+J205</f>
        <v>12447747.292</v>
      </c>
      <c r="K212" s="21" t="n">
        <f aca="false">K202-K207+K205</f>
        <v>12447747.292</v>
      </c>
      <c r="L212" s="21" t="n">
        <f aca="false">L202-L207+L205</f>
        <v>0</v>
      </c>
    </row>
    <row r="213" customFormat="false" ht="15" hidden="false" customHeight="false" outlineLevel="0" collapsed="false">
      <c r="A213" s="7" t="s">
        <v>159</v>
      </c>
      <c r="B213" s="21" t="n">
        <f aca="false">0</f>
        <v>0</v>
      </c>
      <c r="C213" s="21" t="n">
        <f aca="false">C203+C204-C206</f>
        <v>897916.8</v>
      </c>
      <c r="D213" s="21" t="n">
        <f aca="false">D203+D204-D206</f>
        <v>1847193.09536</v>
      </c>
      <c r="E213" s="21" t="n">
        <f aca="false">E203+E204-E206</f>
        <v>2641779.1686288</v>
      </c>
      <c r="F213" s="21" t="n">
        <f aca="false">F203+F204-F206</f>
        <v>2964728.6602354</v>
      </c>
      <c r="G213" s="21" t="n">
        <f aca="false">G203+G204-G206</f>
        <v>3094325.09430693</v>
      </c>
      <c r="H213" s="21" t="n">
        <f aca="false">H203+H204-H206</f>
        <v>3280202.44919431</v>
      </c>
      <c r="I213" s="21" t="n">
        <f aca="false">I203+I204-I206</f>
        <v>3274328.04677994</v>
      </c>
      <c r="J213" s="21" t="n">
        <f aca="false">J203+J204-J206</f>
        <v>3673782.98784516</v>
      </c>
      <c r="K213" s="21" t="n">
        <f aca="false">K203+K204-K206</f>
        <v>3664817.84674158</v>
      </c>
      <c r="L213" s="21" t="n">
        <f aca="false">L203+L204-L206</f>
        <v>0</v>
      </c>
    </row>
    <row r="214" customFormat="false" ht="15" hidden="false" customHeight="false" outlineLevel="0" collapsed="false">
      <c r="A214" s="7" t="s">
        <v>157</v>
      </c>
      <c r="B214" s="21" t="n">
        <f aca="false">B201</f>
        <v>-11223960</v>
      </c>
      <c r="C214" s="21" t="n">
        <f aca="false">IF(C201&lt;0,C201,C206+C207+(C208-C210)*(1-Promote))</f>
        <v>-1223787.292</v>
      </c>
      <c r="D214" s="21" t="n">
        <f aca="false">IF(D201&lt;0,D201,D206+D207+(D208-D210)*(1-Promote))</f>
        <v>118376.832</v>
      </c>
      <c r="E214" s="21" t="n">
        <f aca="false">IF(E201&lt;0,E201,E206+E207+(E208-E210)*(1-Promote))</f>
        <v>349009.15772</v>
      </c>
      <c r="F214" s="21" t="n">
        <f aca="false">IF(F201&lt;0,F201,F206+F207+(F208-F210)*(1-Promote))</f>
        <v>884212.6252437</v>
      </c>
      <c r="G214" s="21" t="n">
        <f aca="false">IF(G201&lt;0,G201,G206+G207+(G208-G210)*(1-Promote))</f>
        <v>1103401.6421073</v>
      </c>
      <c r="H214" s="21" t="n">
        <f aca="false">IF(H201&lt;0,H201,H206+H207+(H208-H210)*(1-Promote))</f>
        <v>1057488.43601717</v>
      </c>
      <c r="I214" s="21" t="n">
        <f aca="false">IF(I201&lt;0,I201,I206+I207+(I208-I210)*(1-Promote))</f>
        <v>1264110.38170992</v>
      </c>
      <c r="J214" s="21" t="n">
        <f aca="false">IF(J201&lt;0,J201,J206+J207+(J208-J210)*(1-Promote))</f>
        <v>858311.086037178</v>
      </c>
      <c r="K214" s="21" t="n">
        <f aca="false">IF(K201&lt;0,K201,K206+K207+(K208-K210)*(1-Promote))</f>
        <v>1298687.56349119</v>
      </c>
      <c r="L214" s="21" t="n">
        <f aca="false">IF(L201&lt;0,L201,L206+L207+(L208-L210)*(1-Promote))</f>
        <v>17489642.9452739</v>
      </c>
    </row>
    <row r="216" customFormat="false" ht="15" hidden="false" customHeight="false" outlineLevel="0" collapsed="false">
      <c r="A216" s="11" t="s">
        <v>245</v>
      </c>
    </row>
    <row r="217" customFormat="false" ht="15" hidden="false" customHeight="false" outlineLevel="0" collapsed="false">
      <c r="A217" s="7" t="s">
        <v>144</v>
      </c>
      <c r="B217" s="21" t="n">
        <f aca="false">B12</f>
        <v>-11223960</v>
      </c>
      <c r="C217" s="21" t="n">
        <f aca="false">C12</f>
        <v>-1223787.292</v>
      </c>
      <c r="D217" s="21" t="n">
        <f aca="false">D12</f>
        <v>118376.832</v>
      </c>
      <c r="E217" s="21" t="n">
        <f aca="false">E12</f>
        <v>349009.15772</v>
      </c>
      <c r="F217" s="21" t="n">
        <f aca="false">F12</f>
        <v>884212.6252437</v>
      </c>
      <c r="G217" s="21" t="n">
        <f aca="false">G12</f>
        <v>1103401.6421073</v>
      </c>
      <c r="H217" s="21" t="n">
        <f aca="false">H12</f>
        <v>1057488.43601717</v>
      </c>
      <c r="I217" s="21" t="n">
        <f aca="false">I12</f>
        <v>1264110.38170992</v>
      </c>
      <c r="J217" s="21" t="n">
        <f aca="false">J12</f>
        <v>858311.086037178</v>
      </c>
      <c r="K217" s="21" t="n">
        <f aca="false">K12</f>
        <v>1298687.56349119</v>
      </c>
      <c r="L217" s="21" t="n">
        <f aca="false">L12</f>
        <v>20483516.289674</v>
      </c>
    </row>
    <row r="218" customFormat="false" ht="15" hidden="false" customHeight="false" outlineLevel="0" collapsed="false">
      <c r="A218" s="7" t="s">
        <v>145</v>
      </c>
      <c r="B218" s="21" t="n">
        <f aca="false">0</f>
        <v>0</v>
      </c>
      <c r="C218" s="21" t="n">
        <f aca="false">B228</f>
        <v>11223960</v>
      </c>
      <c r="D218" s="21" t="n">
        <f aca="false">C228</f>
        <v>11223960</v>
      </c>
      <c r="E218" s="21" t="n">
        <f aca="false">D228</f>
        <v>11223960</v>
      </c>
      <c r="F218" s="21" t="n">
        <f aca="false">E228</f>
        <v>11223960</v>
      </c>
      <c r="G218" s="21" t="n">
        <f aca="false">F228</f>
        <v>11223960</v>
      </c>
      <c r="H218" s="21" t="n">
        <f aca="false">G228</f>
        <v>11223960</v>
      </c>
      <c r="I218" s="21" t="n">
        <f aca="false">H228</f>
        <v>11223960</v>
      </c>
      <c r="J218" s="21" t="n">
        <f aca="false">I228</f>
        <v>11223960</v>
      </c>
      <c r="K218" s="21" t="n">
        <f aca="false">J228</f>
        <v>11223960</v>
      </c>
      <c r="L218" s="21" t="n">
        <f aca="false">K228</f>
        <v>11223960</v>
      </c>
    </row>
    <row r="219" customFormat="false" ht="15" hidden="false" customHeight="false" outlineLevel="0" collapsed="false">
      <c r="A219" s="7" t="s">
        <v>146</v>
      </c>
      <c r="B219" s="21" t="n">
        <f aca="false">0</f>
        <v>0</v>
      </c>
      <c r="C219" s="21" t="n">
        <f aca="false">B229</f>
        <v>0</v>
      </c>
      <c r="D219" s="21" t="n">
        <f aca="false">C229</f>
        <v>897916.8</v>
      </c>
      <c r="E219" s="21" t="n">
        <f aca="false">D229</f>
        <v>1749290.112</v>
      </c>
      <c r="F219" s="21" t="n">
        <f aca="false">E229</f>
        <v>2438140.96324</v>
      </c>
      <c r="G219" s="21" t="n">
        <f aca="false">F229</f>
        <v>2646896.4150555</v>
      </c>
      <c r="H219" s="21" t="n">
        <f aca="false">G229</f>
        <v>2653163.28615264</v>
      </c>
      <c r="I219" s="21" t="n">
        <f aca="false">H229</f>
        <v>2705844.71302768</v>
      </c>
      <c r="J219" s="21" t="n">
        <f aca="false">I229</f>
        <v>2556118.70835997</v>
      </c>
      <c r="K219" s="21" t="n">
        <f aca="false">J229</f>
        <v>2800213.91899159</v>
      </c>
      <c r="L219" s="21" t="n">
        <f aca="false">K229</f>
        <v>2623460.26901973</v>
      </c>
    </row>
    <row r="220" customFormat="false" ht="15" hidden="false" customHeight="false" outlineLevel="0" collapsed="false">
      <c r="A220" s="7" t="s">
        <v>147</v>
      </c>
      <c r="B220" s="21" t="n">
        <f aca="false">0</f>
        <v>0</v>
      </c>
      <c r="C220" s="21" t="n">
        <f aca="false">(C218+C219)*Pref</f>
        <v>897916.8</v>
      </c>
      <c r="D220" s="21" t="n">
        <f aca="false">(D218+D219)*Pref</f>
        <v>969750.144</v>
      </c>
      <c r="E220" s="21" t="n">
        <f aca="false">(E218+E219)*Pref</f>
        <v>1037860.00896</v>
      </c>
      <c r="F220" s="21" t="n">
        <f aca="false">(F218+F219)*Pref</f>
        <v>1092968.0770592</v>
      </c>
      <c r="G220" s="21" t="n">
        <f aca="false">(G218+G219)*Pref</f>
        <v>1109668.51320444</v>
      </c>
      <c r="H220" s="21" t="n">
        <f aca="false">(H218+H219)*Pref</f>
        <v>1110169.86289221</v>
      </c>
      <c r="I220" s="21" t="n">
        <f aca="false">(I218+I219)*Pref</f>
        <v>1114384.37704221</v>
      </c>
      <c r="J220" s="21" t="n">
        <f aca="false">(J218+J219)*Pref</f>
        <v>1102406.2966688</v>
      </c>
      <c r="K220" s="21" t="n">
        <f aca="false">(K218+K219)*Pref</f>
        <v>1121933.91351933</v>
      </c>
      <c r="L220" s="21" t="n">
        <f aca="false">(L218+L219)*Pref</f>
        <v>1107793.62152158</v>
      </c>
    </row>
    <row r="221" customFormat="false" ht="15" hidden="false" customHeight="false" outlineLevel="0" collapsed="false">
      <c r="A221" s="7" t="s">
        <v>148</v>
      </c>
      <c r="B221" s="21" t="n">
        <f aca="false">0</f>
        <v>0</v>
      </c>
      <c r="C221" s="21" t="n">
        <f aca="false">IF(C217&lt;0,-C217*0,0)</f>
        <v>0</v>
      </c>
      <c r="D221" s="21" t="n">
        <f aca="false">IF(D217&lt;0,-D217*0,0)</f>
        <v>0</v>
      </c>
      <c r="E221" s="21" t="n">
        <f aca="false">IF(E217&lt;0,-E217*0,0)</f>
        <v>0</v>
      </c>
      <c r="F221" s="21" t="n">
        <f aca="false">IF(F217&lt;0,-F217*0,0)</f>
        <v>0</v>
      </c>
      <c r="G221" s="21" t="n">
        <f aca="false">IF(G217&lt;0,-G217*0,0)</f>
        <v>0</v>
      </c>
      <c r="H221" s="21" t="n">
        <f aca="false">IF(H217&lt;0,-H217*0,0)</f>
        <v>0</v>
      </c>
      <c r="I221" s="21" t="n">
        <f aca="false">IF(I217&lt;0,-I217*0,0)</f>
        <v>0</v>
      </c>
      <c r="J221" s="21" t="n">
        <f aca="false">IF(J217&lt;0,-J217*0,0)</f>
        <v>0</v>
      </c>
      <c r="K221" s="21" t="n">
        <f aca="false">IF(K217&lt;0,-K217*0,0)</f>
        <v>0</v>
      </c>
      <c r="L221" s="21" t="n">
        <f aca="false">IF(L217&lt;0,-L217*0,0)</f>
        <v>0</v>
      </c>
    </row>
    <row r="222" customFormat="false" ht="15" hidden="false" customHeight="false" outlineLevel="0" collapsed="false">
      <c r="A222" s="7" t="s">
        <v>149</v>
      </c>
      <c r="B222" s="21" t="n">
        <f aca="false">0</f>
        <v>0</v>
      </c>
      <c r="C222" s="21" t="n">
        <f aca="false">IF(C217&gt;0,MIN(C217,C219+C220),0)</f>
        <v>0</v>
      </c>
      <c r="D222" s="21" t="n">
        <f aca="false">IF(D217&gt;0,MIN(D217,D219+D220),0)</f>
        <v>118376.832</v>
      </c>
      <c r="E222" s="21" t="n">
        <f aca="false">IF(E217&gt;0,MIN(E217,E219+E220),0)</f>
        <v>349009.15772</v>
      </c>
      <c r="F222" s="21" t="n">
        <f aca="false">IF(F217&gt;0,MIN(F217,F219+F220),0)</f>
        <v>884212.6252437</v>
      </c>
      <c r="G222" s="21" t="n">
        <f aca="false">IF(G217&gt;0,MIN(G217,G219+G220),0)</f>
        <v>1103401.6421073</v>
      </c>
      <c r="H222" s="21" t="n">
        <f aca="false">IF(H217&gt;0,MIN(H217,H219+H220),0)</f>
        <v>1057488.43601717</v>
      </c>
      <c r="I222" s="21" t="n">
        <f aca="false">IF(I217&gt;0,MIN(I217,I219+I220),0)</f>
        <v>1264110.38170992</v>
      </c>
      <c r="J222" s="21" t="n">
        <f aca="false">IF(J217&gt;0,MIN(J217,J219+J220),0)</f>
        <v>858311.086037178</v>
      </c>
      <c r="K222" s="21" t="n">
        <f aca="false">IF(K217&gt;0,MIN(K217,K219+K220),0)</f>
        <v>1298687.56349119</v>
      </c>
      <c r="L222" s="21" t="n">
        <f aca="false">IF(L217&gt;0,MIN(L217,L219+L220),0)</f>
        <v>3731253.89054131</v>
      </c>
    </row>
    <row r="223" customFormat="false" ht="15" hidden="false" customHeight="false" outlineLevel="0" collapsed="false">
      <c r="A223" s="7" t="s">
        <v>150</v>
      </c>
      <c r="B223" s="21" t="n">
        <f aca="false">0</f>
        <v>0</v>
      </c>
      <c r="C223" s="21" t="n">
        <f aca="false">IF(C217&gt;0,MIN(C217-C222,C218),0)</f>
        <v>0</v>
      </c>
      <c r="D223" s="21" t="n">
        <f aca="false">IF(D217&gt;0,MIN(D217-D222,D218),0)</f>
        <v>0</v>
      </c>
      <c r="E223" s="21" t="n">
        <f aca="false">IF(E217&gt;0,MIN(E217-E222,E218),0)</f>
        <v>0</v>
      </c>
      <c r="F223" s="21" t="n">
        <f aca="false">IF(F217&gt;0,MIN(F217-F222,F218),0)</f>
        <v>0</v>
      </c>
      <c r="G223" s="21" t="n">
        <f aca="false">IF(G217&gt;0,MIN(G217-G222,G218),0)</f>
        <v>0</v>
      </c>
      <c r="H223" s="21" t="n">
        <f aca="false">IF(H217&gt;0,MIN(H217-H222,H218),0)</f>
        <v>0</v>
      </c>
      <c r="I223" s="21" t="n">
        <f aca="false">IF(I217&gt;0,MIN(I217-I222,I218),0)</f>
        <v>0</v>
      </c>
      <c r="J223" s="21" t="n">
        <f aca="false">IF(J217&gt;0,MIN(J217-J222,J218),0)</f>
        <v>0</v>
      </c>
      <c r="K223" s="21" t="n">
        <f aca="false">IF(K217&gt;0,MIN(K217-K222,K218),0)</f>
        <v>0</v>
      </c>
      <c r="L223" s="21" t="n">
        <f aca="false">IF(L217&gt;0,MIN(L217-L222,L218),0)</f>
        <v>11223960</v>
      </c>
    </row>
    <row r="224" customFormat="false" ht="15" hidden="false" customHeight="false" outlineLevel="0" collapsed="false">
      <c r="A224" s="7" t="s">
        <v>151</v>
      </c>
      <c r="B224" s="21" t="n">
        <f aca="false">0</f>
        <v>0</v>
      </c>
      <c r="C224" s="21" t="n">
        <f aca="false">IF(C217&gt;0,C217-C222-C223,0)</f>
        <v>0</v>
      </c>
      <c r="D224" s="21" t="n">
        <f aca="false">IF(D217&gt;0,D217-D222-D223,0)</f>
        <v>0</v>
      </c>
      <c r="E224" s="21" t="n">
        <f aca="false">IF(E217&gt;0,E217-E222-E223,0)</f>
        <v>0</v>
      </c>
      <c r="F224" s="21" t="n">
        <f aca="false">IF(F217&gt;0,F217-F222-F223,0)</f>
        <v>0</v>
      </c>
      <c r="G224" s="21" t="n">
        <f aca="false">IF(G217&gt;0,G217-G222-G223,0)</f>
        <v>0</v>
      </c>
      <c r="H224" s="21" t="n">
        <f aca="false">IF(H217&gt;0,H217-H222-H223,0)</f>
        <v>0</v>
      </c>
      <c r="I224" s="21" t="n">
        <f aca="false">IF(I217&gt;0,I217-I222-I223,0)</f>
        <v>0</v>
      </c>
      <c r="J224" s="21" t="n">
        <f aca="false">IF(J217&gt;0,J217-J222-J223,0)</f>
        <v>0</v>
      </c>
      <c r="K224" s="21" t="n">
        <f aca="false">IF(K217&gt;0,K217-K222-K223,0)</f>
        <v>0</v>
      </c>
      <c r="L224" s="21" t="n">
        <f aca="false">IF(L217&gt;0,L217-L222-L223,0)</f>
        <v>5528302.39913265</v>
      </c>
    </row>
    <row r="225" customFormat="false" ht="15" hidden="false" customHeight="false" outlineLevel="0" collapsed="false">
      <c r="A225" s="7" t="s">
        <v>152</v>
      </c>
      <c r="B225" s="21" t="n">
        <f aca="false">0</f>
        <v>0</v>
      </c>
      <c r="C225" s="21" t="n">
        <f aca="false">B225+C222</f>
        <v>0</v>
      </c>
      <c r="D225" s="21" t="n">
        <f aca="false">C225+D222</f>
        <v>118376.832</v>
      </c>
      <c r="E225" s="21" t="n">
        <f aca="false">D225+E222</f>
        <v>467385.98972</v>
      </c>
      <c r="F225" s="21" t="n">
        <f aca="false">E225+F222</f>
        <v>1351598.6149637</v>
      </c>
      <c r="G225" s="21" t="n">
        <f aca="false">F225+G222</f>
        <v>2455000.257071</v>
      </c>
      <c r="H225" s="21" t="n">
        <f aca="false">G225+H222</f>
        <v>3512488.69308818</v>
      </c>
      <c r="I225" s="21" t="n">
        <f aca="false">H225+I222</f>
        <v>4776599.0747981</v>
      </c>
      <c r="J225" s="21" t="n">
        <f aca="false">I225+J222</f>
        <v>5634910.16083527</v>
      </c>
      <c r="K225" s="21" t="n">
        <f aca="false">J225+K222</f>
        <v>6933597.72432646</v>
      </c>
      <c r="L225" s="21" t="n">
        <f aca="false">K225+L222</f>
        <v>10664851.6148678</v>
      </c>
    </row>
    <row r="226" customFormat="false" ht="15" hidden="false" customHeight="false" outlineLevel="0" collapsed="false">
      <c r="A226" s="7" t="s">
        <v>154</v>
      </c>
      <c r="B226" s="21" t="n">
        <f aca="false">0</f>
        <v>0</v>
      </c>
      <c r="C226" s="21" t="n">
        <f aca="false">1*MIN(C224,MAX(0,C225*CatchUp-B227))</f>
        <v>0</v>
      </c>
      <c r="D226" s="21" t="n">
        <f aca="false">1*MIN(D224,MAX(0,D225*CatchUp-C227))</f>
        <v>0</v>
      </c>
      <c r="E226" s="21" t="n">
        <f aca="false">1*MIN(E224,MAX(0,E225*CatchUp-D227))</f>
        <v>0</v>
      </c>
      <c r="F226" s="21" t="n">
        <f aca="false">1*MIN(F224,MAX(0,F225*CatchUp-E227))</f>
        <v>0</v>
      </c>
      <c r="G226" s="21" t="n">
        <f aca="false">1*MIN(G224,MAX(0,G225*CatchUp-F227))</f>
        <v>0</v>
      </c>
      <c r="H226" s="21" t="n">
        <f aca="false">1*MIN(H224,MAX(0,H225*CatchUp-G227))</f>
        <v>0</v>
      </c>
      <c r="I226" s="21" t="n">
        <f aca="false">1*MIN(I224,MAX(0,I225*CatchUp-H227))</f>
        <v>0</v>
      </c>
      <c r="J226" s="21" t="n">
        <f aca="false">1*MIN(J224,MAX(0,J225*CatchUp-I227))</f>
        <v>0</v>
      </c>
      <c r="K226" s="21" t="n">
        <f aca="false">1*MIN(K224,MAX(0,K225*CatchUp-J227))</f>
        <v>0</v>
      </c>
      <c r="L226" s="21" t="n">
        <f aca="false">1*MIN(L224,MAX(0,L225*CatchUp-K227))</f>
        <v>2666212.90371694</v>
      </c>
    </row>
    <row r="227" customFormat="false" ht="15" hidden="false" customHeight="false" outlineLevel="0" collapsed="false">
      <c r="A227" s="7" t="s">
        <v>156</v>
      </c>
      <c r="B227" s="21" t="n">
        <f aca="false">0</f>
        <v>0</v>
      </c>
      <c r="C227" s="21" t="n">
        <f aca="false">B227+C226+(C224-C226)*Promote</f>
        <v>0</v>
      </c>
      <c r="D227" s="21" t="n">
        <f aca="false">C227+D226+(D224-D226)*Promote</f>
        <v>0</v>
      </c>
      <c r="E227" s="21" t="n">
        <f aca="false">D227+E226+(E224-E226)*Promote</f>
        <v>0</v>
      </c>
      <c r="F227" s="21" t="n">
        <f aca="false">E227+F226+(F224-F226)*Promote</f>
        <v>0</v>
      </c>
      <c r="G227" s="21" t="n">
        <f aca="false">F227+G226+(G224-G226)*Promote</f>
        <v>0</v>
      </c>
      <c r="H227" s="21" t="n">
        <f aca="false">G227+H226+(H224-H226)*Promote</f>
        <v>0</v>
      </c>
      <c r="I227" s="21" t="n">
        <f aca="false">H227+I226+(I224-I226)*Promote</f>
        <v>0</v>
      </c>
      <c r="J227" s="21" t="n">
        <f aca="false">I227+J226+(J224-J226)*Promote</f>
        <v>0</v>
      </c>
      <c r="K227" s="21" t="n">
        <f aca="false">J227+K226+(K224-K226)*Promote</f>
        <v>0</v>
      </c>
      <c r="L227" s="21" t="n">
        <f aca="false">K227+L226+(L224-L226)*Promote</f>
        <v>3238630.80280008</v>
      </c>
    </row>
    <row r="228" customFormat="false" ht="15" hidden="false" customHeight="false" outlineLevel="0" collapsed="false">
      <c r="A228" s="7" t="s">
        <v>158</v>
      </c>
      <c r="B228" s="21" t="n">
        <f aca="false">-B217</f>
        <v>11223960</v>
      </c>
      <c r="C228" s="21" t="n">
        <f aca="false">C218-C223+C221</f>
        <v>11223960</v>
      </c>
      <c r="D228" s="21" t="n">
        <f aca="false">D218-D223+D221</f>
        <v>11223960</v>
      </c>
      <c r="E228" s="21" t="n">
        <f aca="false">E218-E223+E221</f>
        <v>11223960</v>
      </c>
      <c r="F228" s="21" t="n">
        <f aca="false">F218-F223+F221</f>
        <v>11223960</v>
      </c>
      <c r="G228" s="21" t="n">
        <f aca="false">G218-G223+G221</f>
        <v>11223960</v>
      </c>
      <c r="H228" s="21" t="n">
        <f aca="false">H218-H223+H221</f>
        <v>11223960</v>
      </c>
      <c r="I228" s="21" t="n">
        <f aca="false">I218-I223+I221</f>
        <v>11223960</v>
      </c>
      <c r="J228" s="21" t="n">
        <f aca="false">J218-J223+J221</f>
        <v>11223960</v>
      </c>
      <c r="K228" s="21" t="n">
        <f aca="false">K218-K223+K221</f>
        <v>11223960</v>
      </c>
      <c r="L228" s="21" t="n">
        <f aca="false">L218-L223+L221</f>
        <v>0</v>
      </c>
    </row>
    <row r="229" customFormat="false" ht="15" hidden="false" customHeight="false" outlineLevel="0" collapsed="false">
      <c r="A229" s="7" t="s">
        <v>159</v>
      </c>
      <c r="B229" s="21" t="n">
        <f aca="false">0</f>
        <v>0</v>
      </c>
      <c r="C229" s="21" t="n">
        <f aca="false">C219+C220-C222</f>
        <v>897916.8</v>
      </c>
      <c r="D229" s="21" t="n">
        <f aca="false">D219+D220-D222</f>
        <v>1749290.112</v>
      </c>
      <c r="E229" s="21" t="n">
        <f aca="false">E219+E220-E222</f>
        <v>2438140.96324</v>
      </c>
      <c r="F229" s="21" t="n">
        <f aca="false">F219+F220-F222</f>
        <v>2646896.4150555</v>
      </c>
      <c r="G229" s="21" t="n">
        <f aca="false">G219+G220-G222</f>
        <v>2653163.28615264</v>
      </c>
      <c r="H229" s="21" t="n">
        <f aca="false">H219+H220-H222</f>
        <v>2705844.71302768</v>
      </c>
      <c r="I229" s="21" t="n">
        <f aca="false">I219+I220-I222</f>
        <v>2556118.70835997</v>
      </c>
      <c r="J229" s="21" t="n">
        <f aca="false">J219+J220-J222</f>
        <v>2800213.91899159</v>
      </c>
      <c r="K229" s="21" t="n">
        <f aca="false">K219+K220-K222</f>
        <v>2623460.26901973</v>
      </c>
      <c r="L229" s="21" t="n">
        <f aca="false">L219+L220-L222</f>
        <v>0</v>
      </c>
    </row>
    <row r="230" customFormat="false" ht="15" hidden="false" customHeight="false" outlineLevel="0" collapsed="false">
      <c r="A230" s="7" t="s">
        <v>157</v>
      </c>
      <c r="B230" s="21" t="n">
        <f aca="false">B217</f>
        <v>-11223960</v>
      </c>
      <c r="C230" s="21" t="n">
        <f aca="false">IF(C217&lt;0,C217,C222+C223+(C224-C226)*(1-Promote))</f>
        <v>-1223787.292</v>
      </c>
      <c r="D230" s="21" t="n">
        <f aca="false">IF(D217&lt;0,D217,D222+D223+(D224-D226)*(1-Promote))</f>
        <v>118376.832</v>
      </c>
      <c r="E230" s="21" t="n">
        <f aca="false">IF(E217&lt;0,E217,E222+E223+(E224-E226)*(1-Promote))</f>
        <v>349009.15772</v>
      </c>
      <c r="F230" s="21" t="n">
        <f aca="false">IF(F217&lt;0,F217,F222+F223+(F224-F226)*(1-Promote))</f>
        <v>884212.6252437</v>
      </c>
      <c r="G230" s="21" t="n">
        <f aca="false">IF(G217&lt;0,G217,G222+G223+(G224-G226)*(1-Promote))</f>
        <v>1103401.6421073</v>
      </c>
      <c r="H230" s="21" t="n">
        <f aca="false">IF(H217&lt;0,H217,H222+H223+(H224-H226)*(1-Promote))</f>
        <v>1057488.43601717</v>
      </c>
      <c r="I230" s="21" t="n">
        <f aca="false">IF(I217&lt;0,I217,I222+I223+(I224-I226)*(1-Promote))</f>
        <v>1264110.38170992</v>
      </c>
      <c r="J230" s="21" t="n">
        <f aca="false">IF(J217&lt;0,J217,J222+J223+(J224-J226)*(1-Promote))</f>
        <v>858311.086037178</v>
      </c>
      <c r="K230" s="21" t="n">
        <f aca="false">IF(K217&lt;0,K217,K222+K223+(K224-K226)*(1-Promote))</f>
        <v>1298687.56349119</v>
      </c>
      <c r="L230" s="21" t="n">
        <f aca="false">IF(L217&lt;0,L217,L222+L223+(L224-L226)*(1-Promote))</f>
        <v>17244885.4868739</v>
      </c>
    </row>
    <row r="232" customFormat="false" ht="15" hidden="false" customHeight="false" outlineLevel="0" collapsed="false">
      <c r="A232" s="11" t="s">
        <v>246</v>
      </c>
    </row>
    <row r="233" customFormat="false" ht="15" hidden="false" customHeight="false" outlineLevel="0" collapsed="false">
      <c r="A233" s="7" t="s">
        <v>144</v>
      </c>
      <c r="B233" s="21" t="n">
        <f aca="false">B13</f>
        <v>-9918480</v>
      </c>
      <c r="C233" s="21" t="n">
        <f aca="false">C13</f>
        <v>-1281207.292</v>
      </c>
      <c r="D233" s="21" t="n">
        <f aca="false">D13</f>
        <v>60956.8319999999</v>
      </c>
      <c r="E233" s="21" t="n">
        <f aca="false">E13</f>
        <v>291589.15772</v>
      </c>
      <c r="F233" s="21" t="n">
        <f aca="false">F13</f>
        <v>826792.6252437</v>
      </c>
      <c r="G233" s="21" t="n">
        <f aca="false">G13</f>
        <v>1045981.6421073</v>
      </c>
      <c r="H233" s="21" t="n">
        <f aca="false">H13</f>
        <v>1000068.43601717</v>
      </c>
      <c r="I233" s="21" t="n">
        <f aca="false">I13</f>
        <v>1206690.38170992</v>
      </c>
      <c r="J233" s="21" t="n">
        <f aca="false">J13</f>
        <v>800891.086037178</v>
      </c>
      <c r="K233" s="21" t="n">
        <f aca="false">K13</f>
        <v>1241267.56349119</v>
      </c>
      <c r="L233" s="21" t="n">
        <f aca="false">L13</f>
        <v>19106096.289674</v>
      </c>
    </row>
    <row r="234" customFormat="false" ht="15" hidden="false" customHeight="false" outlineLevel="0" collapsed="false">
      <c r="A234" s="7" t="s">
        <v>145</v>
      </c>
      <c r="B234" s="21" t="n">
        <f aca="false">0</f>
        <v>0</v>
      </c>
      <c r="C234" s="21" t="n">
        <f aca="false">B244</f>
        <v>9918480</v>
      </c>
      <c r="D234" s="21" t="n">
        <f aca="false">C244</f>
        <v>11199687.292</v>
      </c>
      <c r="E234" s="21" t="n">
        <f aca="false">D244</f>
        <v>11199687.292</v>
      </c>
      <c r="F234" s="21" t="n">
        <f aca="false">E244</f>
        <v>11199687.292</v>
      </c>
      <c r="G234" s="21" t="n">
        <f aca="false">F244</f>
        <v>11199687.292</v>
      </c>
      <c r="H234" s="21" t="n">
        <f aca="false">G244</f>
        <v>11199687.292</v>
      </c>
      <c r="I234" s="21" t="n">
        <f aca="false">H244</f>
        <v>11199687.292</v>
      </c>
      <c r="J234" s="21" t="n">
        <f aca="false">I244</f>
        <v>11199687.292</v>
      </c>
      <c r="K234" s="21" t="n">
        <f aca="false">J244</f>
        <v>11199687.292</v>
      </c>
      <c r="L234" s="21" t="n">
        <f aca="false">K244</f>
        <v>11199687.292</v>
      </c>
    </row>
    <row r="235" customFormat="false" ht="15" hidden="false" customHeight="false" outlineLevel="0" collapsed="false">
      <c r="A235" s="7" t="s">
        <v>146</v>
      </c>
      <c r="B235" s="21" t="n">
        <f aca="false">0</f>
        <v>0</v>
      </c>
      <c r="C235" s="21" t="n">
        <f aca="false">B245</f>
        <v>0</v>
      </c>
      <c r="D235" s="21" t="n">
        <f aca="false">C245</f>
        <v>793478.4</v>
      </c>
      <c r="E235" s="21" t="n">
        <f aca="false">D245</f>
        <v>1691974.82336</v>
      </c>
      <c r="F235" s="21" t="n">
        <f aca="false">E245</f>
        <v>2431718.6348688</v>
      </c>
      <c r="G235" s="21" t="n">
        <f aca="false">F245</f>
        <v>2695438.4837746</v>
      </c>
      <c r="H235" s="21" t="n">
        <f aca="false">G245</f>
        <v>2761066.90372927</v>
      </c>
      <c r="I235" s="21" t="n">
        <f aca="false">H245</f>
        <v>2877858.80337044</v>
      </c>
      <c r="J235" s="21" t="n">
        <f aca="false">I245</f>
        <v>2797372.10929015</v>
      </c>
      <c r="K235" s="21" t="n">
        <f aca="false">J245</f>
        <v>3116245.77535619</v>
      </c>
      <c r="L235" s="21" t="n">
        <f aca="false">K245</f>
        <v>3020252.8572535</v>
      </c>
    </row>
    <row r="236" customFormat="false" ht="15" hidden="false" customHeight="false" outlineLevel="0" collapsed="false">
      <c r="A236" s="7" t="s">
        <v>147</v>
      </c>
      <c r="B236" s="21" t="n">
        <f aca="false">0</f>
        <v>0</v>
      </c>
      <c r="C236" s="21" t="n">
        <f aca="false">(C234+C235)*Pref</f>
        <v>793478.4</v>
      </c>
      <c r="D236" s="21" t="n">
        <f aca="false">(D234+D235)*Pref</f>
        <v>959453.25536</v>
      </c>
      <c r="E236" s="21" t="n">
        <f aca="false">(E234+E235)*Pref</f>
        <v>1031332.9692288</v>
      </c>
      <c r="F236" s="21" t="n">
        <f aca="false">(F234+F235)*Pref</f>
        <v>1090512.4741495</v>
      </c>
      <c r="G236" s="21" t="n">
        <f aca="false">(G234+G235)*Pref</f>
        <v>1111610.06206197</v>
      </c>
      <c r="H236" s="21" t="n">
        <f aca="false">(H234+H235)*Pref</f>
        <v>1116860.33565834</v>
      </c>
      <c r="I236" s="21" t="n">
        <f aca="false">(I234+I235)*Pref</f>
        <v>1126203.68762964</v>
      </c>
      <c r="J236" s="21" t="n">
        <f aca="false">(J234+J235)*Pref</f>
        <v>1119764.75210321</v>
      </c>
      <c r="K236" s="21" t="n">
        <f aca="false">(K234+K235)*Pref</f>
        <v>1145274.6453885</v>
      </c>
      <c r="L236" s="21" t="n">
        <f aca="false">(L234+L235)*Pref</f>
        <v>1137595.21194028</v>
      </c>
    </row>
    <row r="237" customFormat="false" ht="15" hidden="false" customHeight="false" outlineLevel="0" collapsed="false">
      <c r="A237" s="7" t="s">
        <v>148</v>
      </c>
      <c r="B237" s="21" t="n">
        <f aca="false">0</f>
        <v>0</v>
      </c>
      <c r="C237" s="21" t="n">
        <f aca="false">IF(C233&lt;0,-C233*1,0)</f>
        <v>1281207.292</v>
      </c>
      <c r="D237" s="21" t="n">
        <f aca="false">IF(D233&lt;0,-D233*1,0)</f>
        <v>0</v>
      </c>
      <c r="E237" s="21" t="n">
        <f aca="false">IF(E233&lt;0,-E233*1,0)</f>
        <v>0</v>
      </c>
      <c r="F237" s="21" t="n">
        <f aca="false">IF(F233&lt;0,-F233*1,0)</f>
        <v>0</v>
      </c>
      <c r="G237" s="21" t="n">
        <f aca="false">IF(G233&lt;0,-G233*1,0)</f>
        <v>0</v>
      </c>
      <c r="H237" s="21" t="n">
        <f aca="false">IF(H233&lt;0,-H233*1,0)</f>
        <v>0</v>
      </c>
      <c r="I237" s="21" t="n">
        <f aca="false">IF(I233&lt;0,-I233*1,0)</f>
        <v>0</v>
      </c>
      <c r="J237" s="21" t="n">
        <f aca="false">IF(J233&lt;0,-J233*1,0)</f>
        <v>0</v>
      </c>
      <c r="K237" s="21" t="n">
        <f aca="false">IF(K233&lt;0,-K233*1,0)</f>
        <v>0</v>
      </c>
      <c r="L237" s="21" t="n">
        <f aca="false">IF(L233&lt;0,-L233*1,0)</f>
        <v>0</v>
      </c>
    </row>
    <row r="238" customFormat="false" ht="15" hidden="false" customHeight="false" outlineLevel="0" collapsed="false">
      <c r="A238" s="7" t="s">
        <v>149</v>
      </c>
      <c r="B238" s="21" t="n">
        <f aca="false">0</f>
        <v>0</v>
      </c>
      <c r="C238" s="21" t="n">
        <f aca="false">IF(C233&gt;0,MIN(C233,C235+C236),0)</f>
        <v>0</v>
      </c>
      <c r="D238" s="21" t="n">
        <f aca="false">IF(D233&gt;0,MIN(D233,D235+D236),0)</f>
        <v>60956.8319999999</v>
      </c>
      <c r="E238" s="21" t="n">
        <f aca="false">IF(E233&gt;0,MIN(E233,E235+E236),0)</f>
        <v>291589.15772</v>
      </c>
      <c r="F238" s="21" t="n">
        <f aca="false">IF(F233&gt;0,MIN(F233,F235+F236),0)</f>
        <v>826792.6252437</v>
      </c>
      <c r="G238" s="21" t="n">
        <f aca="false">IF(G233&gt;0,MIN(G233,G235+G236),0)</f>
        <v>1045981.6421073</v>
      </c>
      <c r="H238" s="21" t="n">
        <f aca="false">IF(H233&gt;0,MIN(H233,H235+H236),0)</f>
        <v>1000068.43601717</v>
      </c>
      <c r="I238" s="21" t="n">
        <f aca="false">IF(I233&gt;0,MIN(I233,I235+I236),0)</f>
        <v>1206690.38170992</v>
      </c>
      <c r="J238" s="21" t="n">
        <f aca="false">IF(J233&gt;0,MIN(J233,J235+J236),0)</f>
        <v>800891.086037178</v>
      </c>
      <c r="K238" s="21" t="n">
        <f aca="false">IF(K233&gt;0,MIN(K233,K235+K236),0)</f>
        <v>1241267.56349119</v>
      </c>
      <c r="L238" s="21" t="n">
        <f aca="false">IF(L233&gt;0,MIN(L233,L235+L236),0)</f>
        <v>4157848.06919378</v>
      </c>
    </row>
    <row r="239" customFormat="false" ht="15" hidden="false" customHeight="false" outlineLevel="0" collapsed="false">
      <c r="A239" s="7" t="s">
        <v>150</v>
      </c>
      <c r="B239" s="21" t="n">
        <f aca="false">0</f>
        <v>0</v>
      </c>
      <c r="C239" s="21" t="n">
        <f aca="false">IF(C233&gt;0,MIN(C233-C238,C234),0)</f>
        <v>0</v>
      </c>
      <c r="D239" s="21" t="n">
        <f aca="false">IF(D233&gt;0,MIN(D233-D238,D234),0)</f>
        <v>0</v>
      </c>
      <c r="E239" s="21" t="n">
        <f aca="false">IF(E233&gt;0,MIN(E233-E238,E234),0)</f>
        <v>0</v>
      </c>
      <c r="F239" s="21" t="n">
        <f aca="false">IF(F233&gt;0,MIN(F233-F238,F234),0)</f>
        <v>0</v>
      </c>
      <c r="G239" s="21" t="n">
        <f aca="false">IF(G233&gt;0,MIN(G233-G238,G234),0)</f>
        <v>0</v>
      </c>
      <c r="H239" s="21" t="n">
        <f aca="false">IF(H233&gt;0,MIN(H233-H238,H234),0)</f>
        <v>0</v>
      </c>
      <c r="I239" s="21" t="n">
        <f aca="false">IF(I233&gt;0,MIN(I233-I238,I234),0)</f>
        <v>0</v>
      </c>
      <c r="J239" s="21" t="n">
        <f aca="false">IF(J233&gt;0,MIN(J233-J238,J234),0)</f>
        <v>0</v>
      </c>
      <c r="K239" s="21" t="n">
        <f aca="false">IF(K233&gt;0,MIN(K233-K238,K234),0)</f>
        <v>0</v>
      </c>
      <c r="L239" s="21" t="n">
        <f aca="false">IF(L233&gt;0,MIN(L233-L238,L234),0)</f>
        <v>11199687.292</v>
      </c>
    </row>
    <row r="240" customFormat="false" ht="15" hidden="false" customHeight="false" outlineLevel="0" collapsed="false">
      <c r="A240" s="7" t="s">
        <v>151</v>
      </c>
      <c r="B240" s="21" t="n">
        <f aca="false">0</f>
        <v>0</v>
      </c>
      <c r="C240" s="21" t="n">
        <f aca="false">IF(C233&gt;0,C233-C238-C239,0)</f>
        <v>0</v>
      </c>
      <c r="D240" s="21" t="n">
        <f aca="false">IF(D233&gt;0,D233-D238-D239,0)</f>
        <v>0</v>
      </c>
      <c r="E240" s="21" t="n">
        <f aca="false">IF(E233&gt;0,E233-E238-E239,0)</f>
        <v>0</v>
      </c>
      <c r="F240" s="21" t="n">
        <f aca="false">IF(F233&gt;0,F233-F238-F239,0)</f>
        <v>0</v>
      </c>
      <c r="G240" s="21" t="n">
        <f aca="false">IF(G233&gt;0,G233-G238-G239,0)</f>
        <v>0</v>
      </c>
      <c r="H240" s="21" t="n">
        <f aca="false">IF(H233&gt;0,H233-H238-H239,0)</f>
        <v>0</v>
      </c>
      <c r="I240" s="21" t="n">
        <f aca="false">IF(I233&gt;0,I233-I238-I239,0)</f>
        <v>0</v>
      </c>
      <c r="J240" s="21" t="n">
        <f aca="false">IF(J233&gt;0,J233-J238-J239,0)</f>
        <v>0</v>
      </c>
      <c r="K240" s="21" t="n">
        <f aca="false">IF(K233&gt;0,K233-K238-K239,0)</f>
        <v>0</v>
      </c>
      <c r="L240" s="21" t="n">
        <f aca="false">IF(L233&gt;0,L233-L238-L239,0)</f>
        <v>3748560.92848019</v>
      </c>
    </row>
    <row r="241" customFormat="false" ht="15" hidden="false" customHeight="false" outlineLevel="0" collapsed="false">
      <c r="A241" s="7" t="s">
        <v>152</v>
      </c>
      <c r="B241" s="21" t="n">
        <f aca="false">0</f>
        <v>0</v>
      </c>
      <c r="C241" s="21" t="n">
        <f aca="false">B241+C238</f>
        <v>0</v>
      </c>
      <c r="D241" s="21" t="n">
        <f aca="false">C241+D238</f>
        <v>60956.8319999999</v>
      </c>
      <c r="E241" s="21" t="n">
        <f aca="false">D241+E238</f>
        <v>352545.98972</v>
      </c>
      <c r="F241" s="21" t="n">
        <f aca="false">E241+F238</f>
        <v>1179338.6149637</v>
      </c>
      <c r="G241" s="21" t="n">
        <f aca="false">F241+G238</f>
        <v>2225320.257071</v>
      </c>
      <c r="H241" s="21" t="n">
        <f aca="false">G241+H238</f>
        <v>3225388.69308818</v>
      </c>
      <c r="I241" s="21" t="n">
        <f aca="false">H241+I238</f>
        <v>4432079.0747981</v>
      </c>
      <c r="J241" s="21" t="n">
        <f aca="false">I241+J238</f>
        <v>5232970.16083527</v>
      </c>
      <c r="K241" s="21" t="n">
        <f aca="false">J241+K238</f>
        <v>6474237.72432646</v>
      </c>
      <c r="L241" s="21" t="n">
        <f aca="false">K241+L238</f>
        <v>10632085.7935202</v>
      </c>
    </row>
    <row r="242" customFormat="false" ht="15" hidden="false" customHeight="false" outlineLevel="0" collapsed="false">
      <c r="A242" s="7" t="s">
        <v>154</v>
      </c>
      <c r="B242" s="21" t="n">
        <f aca="false">0</f>
        <v>0</v>
      </c>
      <c r="C242" s="21" t="n">
        <f aca="false">1*MIN(C240,MAX(0,C241*CatchUp-B243))</f>
        <v>0</v>
      </c>
      <c r="D242" s="21" t="n">
        <f aca="false">1*MIN(D240,MAX(0,D241*CatchUp-C243))</f>
        <v>0</v>
      </c>
      <c r="E242" s="21" t="n">
        <f aca="false">1*MIN(E240,MAX(0,E241*CatchUp-D243))</f>
        <v>0</v>
      </c>
      <c r="F242" s="21" t="n">
        <f aca="false">1*MIN(F240,MAX(0,F241*CatchUp-E243))</f>
        <v>0</v>
      </c>
      <c r="G242" s="21" t="n">
        <f aca="false">1*MIN(G240,MAX(0,G241*CatchUp-F243))</f>
        <v>0</v>
      </c>
      <c r="H242" s="21" t="n">
        <f aca="false">1*MIN(H240,MAX(0,H241*CatchUp-G243))</f>
        <v>0</v>
      </c>
      <c r="I242" s="21" t="n">
        <f aca="false">1*MIN(I240,MAX(0,I241*CatchUp-H243))</f>
        <v>0</v>
      </c>
      <c r="J242" s="21" t="n">
        <f aca="false">1*MIN(J240,MAX(0,J241*CatchUp-I243))</f>
        <v>0</v>
      </c>
      <c r="K242" s="21" t="n">
        <f aca="false">1*MIN(K240,MAX(0,K241*CatchUp-J243))</f>
        <v>0</v>
      </c>
      <c r="L242" s="21" t="n">
        <f aca="false">1*MIN(L240,MAX(0,L241*CatchUp-K243))</f>
        <v>2658021.44838006</v>
      </c>
    </row>
    <row r="243" customFormat="false" ht="15" hidden="false" customHeight="false" outlineLevel="0" collapsed="false">
      <c r="A243" s="7" t="s">
        <v>156</v>
      </c>
      <c r="B243" s="21" t="n">
        <f aca="false">0</f>
        <v>0</v>
      </c>
      <c r="C243" s="21" t="n">
        <f aca="false">B243+C242+(C240-C242)*Promote</f>
        <v>0</v>
      </c>
      <c r="D243" s="21" t="n">
        <f aca="false">C243+D242+(D240-D242)*Promote</f>
        <v>0</v>
      </c>
      <c r="E243" s="21" t="n">
        <f aca="false">D243+E242+(E240-E242)*Promote</f>
        <v>0</v>
      </c>
      <c r="F243" s="21" t="n">
        <f aca="false">E243+F242+(F240-F242)*Promote</f>
        <v>0</v>
      </c>
      <c r="G243" s="21" t="n">
        <f aca="false">F243+G242+(G240-G242)*Promote</f>
        <v>0</v>
      </c>
      <c r="H243" s="21" t="n">
        <f aca="false">G243+H242+(H240-H242)*Promote</f>
        <v>0</v>
      </c>
      <c r="I243" s="21" t="n">
        <f aca="false">H243+I242+(I240-I242)*Promote</f>
        <v>0</v>
      </c>
      <c r="J243" s="21" t="n">
        <f aca="false">I243+J242+(J240-J242)*Promote</f>
        <v>0</v>
      </c>
      <c r="K243" s="21" t="n">
        <f aca="false">J243+K242+(K240-K242)*Promote</f>
        <v>0</v>
      </c>
      <c r="L243" s="21" t="n">
        <f aca="false">K243+L242+(L240-L242)*Promote</f>
        <v>2876129.34440008</v>
      </c>
    </row>
    <row r="244" customFormat="false" ht="15" hidden="false" customHeight="false" outlineLevel="0" collapsed="false">
      <c r="A244" s="7" t="s">
        <v>158</v>
      </c>
      <c r="B244" s="21" t="n">
        <f aca="false">-B233</f>
        <v>9918480</v>
      </c>
      <c r="C244" s="21" t="n">
        <f aca="false">C234-C239+C237</f>
        <v>11199687.292</v>
      </c>
      <c r="D244" s="21" t="n">
        <f aca="false">D234-D239+D237</f>
        <v>11199687.292</v>
      </c>
      <c r="E244" s="21" t="n">
        <f aca="false">E234-E239+E237</f>
        <v>11199687.292</v>
      </c>
      <c r="F244" s="21" t="n">
        <f aca="false">F234-F239+F237</f>
        <v>11199687.292</v>
      </c>
      <c r="G244" s="21" t="n">
        <f aca="false">G234-G239+G237</f>
        <v>11199687.292</v>
      </c>
      <c r="H244" s="21" t="n">
        <f aca="false">H234-H239+H237</f>
        <v>11199687.292</v>
      </c>
      <c r="I244" s="21" t="n">
        <f aca="false">I234-I239+I237</f>
        <v>11199687.292</v>
      </c>
      <c r="J244" s="21" t="n">
        <f aca="false">J234-J239+J237</f>
        <v>11199687.292</v>
      </c>
      <c r="K244" s="21" t="n">
        <f aca="false">K234-K239+K237</f>
        <v>11199687.292</v>
      </c>
      <c r="L244" s="21" t="n">
        <f aca="false">L234-L239+L237</f>
        <v>0</v>
      </c>
    </row>
    <row r="245" customFormat="false" ht="15" hidden="false" customHeight="false" outlineLevel="0" collapsed="false">
      <c r="A245" s="7" t="s">
        <v>159</v>
      </c>
      <c r="B245" s="21" t="n">
        <f aca="false">0</f>
        <v>0</v>
      </c>
      <c r="C245" s="21" t="n">
        <f aca="false">C235+C236-C238</f>
        <v>793478.4</v>
      </c>
      <c r="D245" s="21" t="n">
        <f aca="false">D235+D236-D238</f>
        <v>1691974.82336</v>
      </c>
      <c r="E245" s="21" t="n">
        <f aca="false">E235+E236-E238</f>
        <v>2431718.6348688</v>
      </c>
      <c r="F245" s="21" t="n">
        <f aca="false">F235+F236-F238</f>
        <v>2695438.4837746</v>
      </c>
      <c r="G245" s="21" t="n">
        <f aca="false">G235+G236-G238</f>
        <v>2761066.90372927</v>
      </c>
      <c r="H245" s="21" t="n">
        <f aca="false">H235+H236-H238</f>
        <v>2877858.80337044</v>
      </c>
      <c r="I245" s="21" t="n">
        <f aca="false">I235+I236-I238</f>
        <v>2797372.10929015</v>
      </c>
      <c r="J245" s="21" t="n">
        <f aca="false">J235+J236-J238</f>
        <v>3116245.77535619</v>
      </c>
      <c r="K245" s="21" t="n">
        <f aca="false">K235+K236-K238</f>
        <v>3020252.8572535</v>
      </c>
      <c r="L245" s="21" t="n">
        <f aca="false">L235+L236-L238</f>
        <v>0</v>
      </c>
    </row>
    <row r="246" customFormat="false" ht="15" hidden="false" customHeight="false" outlineLevel="0" collapsed="false">
      <c r="A246" s="7" t="s">
        <v>157</v>
      </c>
      <c r="B246" s="21" t="n">
        <f aca="false">B233</f>
        <v>-9918480</v>
      </c>
      <c r="C246" s="21" t="n">
        <f aca="false">IF(C233&lt;0,C233,C238+C239+(C240-C242)*(1-Promote))</f>
        <v>-1281207.292</v>
      </c>
      <c r="D246" s="21" t="n">
        <f aca="false">IF(D233&lt;0,D233,D238+D239+(D240-D242)*(1-Promote))</f>
        <v>60956.8319999999</v>
      </c>
      <c r="E246" s="21" t="n">
        <f aca="false">IF(E233&lt;0,E233,E238+E239+(E240-E242)*(1-Promote))</f>
        <v>291589.15772</v>
      </c>
      <c r="F246" s="21" t="n">
        <f aca="false">IF(F233&lt;0,F233,F238+F239+(F240-F242)*(1-Promote))</f>
        <v>826792.6252437</v>
      </c>
      <c r="G246" s="21" t="n">
        <f aca="false">IF(G233&lt;0,G233,G238+G239+(G240-G242)*(1-Promote))</f>
        <v>1045981.6421073</v>
      </c>
      <c r="H246" s="21" t="n">
        <f aca="false">IF(H233&lt;0,H233,H238+H239+(H240-H242)*(1-Promote))</f>
        <v>1000068.43601717</v>
      </c>
      <c r="I246" s="21" t="n">
        <f aca="false">IF(I233&lt;0,I233,I238+I239+(I240-I242)*(1-Promote))</f>
        <v>1206690.38170992</v>
      </c>
      <c r="J246" s="21" t="n">
        <f aca="false">IF(J233&lt;0,J233,J238+J239+(J240-J242)*(1-Promote))</f>
        <v>800891.086037178</v>
      </c>
      <c r="K246" s="21" t="n">
        <f aca="false">IF(K233&lt;0,K233,K238+K239+(K240-K242)*(1-Promote))</f>
        <v>1241267.56349119</v>
      </c>
      <c r="L246" s="21" t="n">
        <f aca="false">IF(L233&lt;0,L233,L238+L239+(L240-L242)*(1-Promote))</f>
        <v>16229966.9452739</v>
      </c>
    </row>
    <row r="248" customFormat="false" ht="15" hidden="false" customHeight="false" outlineLevel="0" collapsed="false">
      <c r="A248" s="11" t="s">
        <v>247</v>
      </c>
    </row>
    <row r="249" customFormat="false" ht="15" hidden="false" customHeight="false" outlineLevel="0" collapsed="false">
      <c r="A249" s="7" t="s">
        <v>144</v>
      </c>
      <c r="B249" s="21" t="n">
        <f aca="false">B13</f>
        <v>-9918480</v>
      </c>
      <c r="C249" s="21" t="n">
        <f aca="false">C13</f>
        <v>-1281207.292</v>
      </c>
      <c r="D249" s="21" t="n">
        <f aca="false">D13</f>
        <v>60956.8319999999</v>
      </c>
      <c r="E249" s="21" t="n">
        <f aca="false">E13</f>
        <v>291589.15772</v>
      </c>
      <c r="F249" s="21" t="n">
        <f aca="false">F13</f>
        <v>826792.6252437</v>
      </c>
      <c r="G249" s="21" t="n">
        <f aca="false">G13</f>
        <v>1045981.6421073</v>
      </c>
      <c r="H249" s="21" t="n">
        <f aca="false">H13</f>
        <v>1000068.43601717</v>
      </c>
      <c r="I249" s="21" t="n">
        <f aca="false">I13</f>
        <v>1206690.38170992</v>
      </c>
      <c r="J249" s="21" t="n">
        <f aca="false">J13</f>
        <v>800891.086037178</v>
      </c>
      <c r="K249" s="21" t="n">
        <f aca="false">K13</f>
        <v>1241267.56349119</v>
      </c>
      <c r="L249" s="21" t="n">
        <f aca="false">L13</f>
        <v>19106096.289674</v>
      </c>
    </row>
    <row r="250" customFormat="false" ht="15" hidden="false" customHeight="false" outlineLevel="0" collapsed="false">
      <c r="A250" s="7" t="s">
        <v>145</v>
      </c>
      <c r="B250" s="21" t="n">
        <f aca="false">0</f>
        <v>0</v>
      </c>
      <c r="C250" s="21" t="n">
        <f aca="false">B260</f>
        <v>9918480</v>
      </c>
      <c r="D250" s="21" t="n">
        <f aca="false">C260</f>
        <v>9918480</v>
      </c>
      <c r="E250" s="21" t="n">
        <f aca="false">D260</f>
        <v>9918480</v>
      </c>
      <c r="F250" s="21" t="n">
        <f aca="false">E260</f>
        <v>9918480</v>
      </c>
      <c r="G250" s="21" t="n">
        <f aca="false">F260</f>
        <v>9918480</v>
      </c>
      <c r="H250" s="21" t="n">
        <f aca="false">G260</f>
        <v>9918480</v>
      </c>
      <c r="I250" s="21" t="n">
        <f aca="false">H260</f>
        <v>9918480</v>
      </c>
      <c r="J250" s="21" t="n">
        <f aca="false">I260</f>
        <v>9918480</v>
      </c>
      <c r="K250" s="21" t="n">
        <f aca="false">J260</f>
        <v>9918480</v>
      </c>
      <c r="L250" s="21" t="n">
        <f aca="false">K260</f>
        <v>9918480</v>
      </c>
    </row>
    <row r="251" customFormat="false" ht="15" hidden="false" customHeight="false" outlineLevel="0" collapsed="false">
      <c r="A251" s="7" t="s">
        <v>146</v>
      </c>
      <c r="B251" s="21" t="n">
        <f aca="false">0</f>
        <v>0</v>
      </c>
      <c r="C251" s="21" t="n">
        <f aca="false">B261</f>
        <v>0</v>
      </c>
      <c r="D251" s="21" t="n">
        <f aca="false">C261</f>
        <v>793478.4</v>
      </c>
      <c r="E251" s="21" t="n">
        <f aca="false">D261</f>
        <v>1589478.24</v>
      </c>
      <c r="F251" s="21" t="n">
        <f aca="false">E261</f>
        <v>2218525.74148</v>
      </c>
      <c r="G251" s="21" t="n">
        <f aca="false">F261</f>
        <v>2362693.5755547</v>
      </c>
      <c r="H251" s="21" t="n">
        <f aca="false">G261</f>
        <v>2299205.81949177</v>
      </c>
      <c r="I251" s="21" t="n">
        <f aca="false">H261</f>
        <v>2276552.24903394</v>
      </c>
      <c r="J251" s="21" t="n">
        <f aca="false">I261</f>
        <v>2045464.44724674</v>
      </c>
      <c r="K251" s="21" t="n">
        <f aca="false">J261</f>
        <v>2201688.9169893</v>
      </c>
      <c r="L251" s="21" t="n">
        <f aca="false">K261</f>
        <v>1930034.86685726</v>
      </c>
    </row>
    <row r="252" customFormat="false" ht="15" hidden="false" customHeight="false" outlineLevel="0" collapsed="false">
      <c r="A252" s="7" t="s">
        <v>147</v>
      </c>
      <c r="B252" s="21" t="n">
        <f aca="false">0</f>
        <v>0</v>
      </c>
      <c r="C252" s="21" t="n">
        <f aca="false">(C250+C251)*Pref</f>
        <v>793478.4</v>
      </c>
      <c r="D252" s="21" t="n">
        <f aca="false">(D250+D251)*Pref</f>
        <v>856956.672</v>
      </c>
      <c r="E252" s="21" t="n">
        <f aca="false">(E250+E251)*Pref</f>
        <v>920636.6592</v>
      </c>
      <c r="F252" s="21" t="n">
        <f aca="false">(F250+F251)*Pref</f>
        <v>970960.4593184</v>
      </c>
      <c r="G252" s="21" t="n">
        <f aca="false">(G250+G251)*Pref</f>
        <v>982493.886044376</v>
      </c>
      <c r="H252" s="21" t="n">
        <f aca="false">(H250+H251)*Pref</f>
        <v>977414.865559342</v>
      </c>
      <c r="I252" s="21" t="n">
        <f aca="false">(I250+I251)*Pref</f>
        <v>975602.579922715</v>
      </c>
      <c r="J252" s="21" t="n">
        <f aca="false">(J250+J251)*Pref</f>
        <v>957115.555779739</v>
      </c>
      <c r="K252" s="21" t="n">
        <f aca="false">(K250+K251)*Pref</f>
        <v>969613.513359144</v>
      </c>
      <c r="L252" s="21" t="n">
        <f aca="false">(L250+L251)*Pref</f>
        <v>947881.189348581</v>
      </c>
    </row>
    <row r="253" customFormat="false" ht="15" hidden="false" customHeight="false" outlineLevel="0" collapsed="false">
      <c r="A253" s="7" t="s">
        <v>148</v>
      </c>
      <c r="B253" s="21" t="n">
        <f aca="false">0</f>
        <v>0</v>
      </c>
      <c r="C253" s="21" t="n">
        <f aca="false">IF(C249&lt;0,-C249*0,0)</f>
        <v>0</v>
      </c>
      <c r="D253" s="21" t="n">
        <f aca="false">IF(D249&lt;0,-D249*0,0)</f>
        <v>0</v>
      </c>
      <c r="E253" s="21" t="n">
        <f aca="false">IF(E249&lt;0,-E249*0,0)</f>
        <v>0</v>
      </c>
      <c r="F253" s="21" t="n">
        <f aca="false">IF(F249&lt;0,-F249*0,0)</f>
        <v>0</v>
      </c>
      <c r="G253" s="21" t="n">
        <f aca="false">IF(G249&lt;0,-G249*0,0)</f>
        <v>0</v>
      </c>
      <c r="H253" s="21" t="n">
        <f aca="false">IF(H249&lt;0,-H249*0,0)</f>
        <v>0</v>
      </c>
      <c r="I253" s="21" t="n">
        <f aca="false">IF(I249&lt;0,-I249*0,0)</f>
        <v>0</v>
      </c>
      <c r="J253" s="21" t="n">
        <f aca="false">IF(J249&lt;0,-J249*0,0)</f>
        <v>0</v>
      </c>
      <c r="K253" s="21" t="n">
        <f aca="false">IF(K249&lt;0,-K249*0,0)</f>
        <v>0</v>
      </c>
      <c r="L253" s="21" t="n">
        <f aca="false">IF(L249&lt;0,-L249*0,0)</f>
        <v>0</v>
      </c>
    </row>
    <row r="254" customFormat="false" ht="15" hidden="false" customHeight="false" outlineLevel="0" collapsed="false">
      <c r="A254" s="7" t="s">
        <v>149</v>
      </c>
      <c r="B254" s="21" t="n">
        <f aca="false">0</f>
        <v>0</v>
      </c>
      <c r="C254" s="21" t="n">
        <f aca="false">IF(C249&gt;0,MIN(C249,C251+C252),0)</f>
        <v>0</v>
      </c>
      <c r="D254" s="21" t="n">
        <f aca="false">IF(D249&gt;0,MIN(D249,D251+D252),0)</f>
        <v>60956.8319999999</v>
      </c>
      <c r="E254" s="21" t="n">
        <f aca="false">IF(E249&gt;0,MIN(E249,E251+E252),0)</f>
        <v>291589.15772</v>
      </c>
      <c r="F254" s="21" t="n">
        <f aca="false">IF(F249&gt;0,MIN(F249,F251+F252),0)</f>
        <v>826792.6252437</v>
      </c>
      <c r="G254" s="21" t="n">
        <f aca="false">IF(G249&gt;0,MIN(G249,G251+G252),0)</f>
        <v>1045981.6421073</v>
      </c>
      <c r="H254" s="21" t="n">
        <f aca="false">IF(H249&gt;0,MIN(H249,H251+H252),0)</f>
        <v>1000068.43601717</v>
      </c>
      <c r="I254" s="21" t="n">
        <f aca="false">IF(I249&gt;0,MIN(I249,I251+I252),0)</f>
        <v>1206690.38170992</v>
      </c>
      <c r="J254" s="21" t="n">
        <f aca="false">IF(J249&gt;0,MIN(J249,J251+J252),0)</f>
        <v>800891.086037178</v>
      </c>
      <c r="K254" s="21" t="n">
        <f aca="false">IF(K249&gt;0,MIN(K249,K251+K252),0)</f>
        <v>1241267.56349119</v>
      </c>
      <c r="L254" s="21" t="n">
        <f aca="false">IF(L249&gt;0,MIN(L249,L251+L252),0)</f>
        <v>2877916.05620584</v>
      </c>
    </row>
    <row r="255" customFormat="false" ht="15" hidden="false" customHeight="false" outlineLevel="0" collapsed="false">
      <c r="A255" s="7" t="s">
        <v>150</v>
      </c>
      <c r="B255" s="21" t="n">
        <f aca="false">0</f>
        <v>0</v>
      </c>
      <c r="C255" s="21" t="n">
        <f aca="false">IF(C249&gt;0,MIN(C249-C254,C250),0)</f>
        <v>0</v>
      </c>
      <c r="D255" s="21" t="n">
        <f aca="false">IF(D249&gt;0,MIN(D249-D254,D250),0)</f>
        <v>0</v>
      </c>
      <c r="E255" s="21" t="n">
        <f aca="false">IF(E249&gt;0,MIN(E249-E254,E250),0)</f>
        <v>0</v>
      </c>
      <c r="F255" s="21" t="n">
        <f aca="false">IF(F249&gt;0,MIN(F249-F254,F250),0)</f>
        <v>0</v>
      </c>
      <c r="G255" s="21" t="n">
        <f aca="false">IF(G249&gt;0,MIN(G249-G254,G250),0)</f>
        <v>0</v>
      </c>
      <c r="H255" s="21" t="n">
        <f aca="false">IF(H249&gt;0,MIN(H249-H254,H250),0)</f>
        <v>0</v>
      </c>
      <c r="I255" s="21" t="n">
        <f aca="false">IF(I249&gt;0,MIN(I249-I254,I250),0)</f>
        <v>0</v>
      </c>
      <c r="J255" s="21" t="n">
        <f aca="false">IF(J249&gt;0,MIN(J249-J254,J250),0)</f>
        <v>0</v>
      </c>
      <c r="K255" s="21" t="n">
        <f aca="false">IF(K249&gt;0,MIN(K249-K254,K250),0)</f>
        <v>0</v>
      </c>
      <c r="L255" s="21" t="n">
        <f aca="false">IF(L249&gt;0,MIN(L249-L254,L250),0)</f>
        <v>9918480</v>
      </c>
    </row>
    <row r="256" customFormat="false" ht="15" hidden="false" customHeight="false" outlineLevel="0" collapsed="false">
      <c r="A256" s="7" t="s">
        <v>151</v>
      </c>
      <c r="B256" s="21" t="n">
        <f aca="false">0</f>
        <v>0</v>
      </c>
      <c r="C256" s="21" t="n">
        <f aca="false">IF(C249&gt;0,C249-C254-C255,0)</f>
        <v>0</v>
      </c>
      <c r="D256" s="21" t="n">
        <f aca="false">IF(D249&gt;0,D249-D254-D255,0)</f>
        <v>0</v>
      </c>
      <c r="E256" s="21" t="n">
        <f aca="false">IF(E249&gt;0,E249-E254-E255,0)</f>
        <v>0</v>
      </c>
      <c r="F256" s="21" t="n">
        <f aca="false">IF(F249&gt;0,F249-F254-F255,0)</f>
        <v>0</v>
      </c>
      <c r="G256" s="21" t="n">
        <f aca="false">IF(G249&gt;0,G249-G254-G255,0)</f>
        <v>0</v>
      </c>
      <c r="H256" s="21" t="n">
        <f aca="false">IF(H249&gt;0,H249-H254-H255,0)</f>
        <v>0</v>
      </c>
      <c r="I256" s="21" t="n">
        <f aca="false">IF(I249&gt;0,I249-I254-I255,0)</f>
        <v>0</v>
      </c>
      <c r="J256" s="21" t="n">
        <f aca="false">IF(J249&gt;0,J249-J254-J255,0)</f>
        <v>0</v>
      </c>
      <c r="K256" s="21" t="n">
        <f aca="false">IF(K249&gt;0,K249-K254-K255,0)</f>
        <v>0</v>
      </c>
      <c r="L256" s="21" t="n">
        <f aca="false">IF(L249&gt;0,L249-L254-L255,0)</f>
        <v>6309700.23346812</v>
      </c>
    </row>
    <row r="257" customFormat="false" ht="15" hidden="false" customHeight="false" outlineLevel="0" collapsed="false">
      <c r="A257" s="7" t="s">
        <v>152</v>
      </c>
      <c r="B257" s="21" t="n">
        <f aca="false">0</f>
        <v>0</v>
      </c>
      <c r="C257" s="21" t="n">
        <f aca="false">B257+C254</f>
        <v>0</v>
      </c>
      <c r="D257" s="21" t="n">
        <f aca="false">C257+D254</f>
        <v>60956.8319999999</v>
      </c>
      <c r="E257" s="21" t="n">
        <f aca="false">D257+E254</f>
        <v>352545.98972</v>
      </c>
      <c r="F257" s="21" t="n">
        <f aca="false">E257+F254</f>
        <v>1179338.6149637</v>
      </c>
      <c r="G257" s="21" t="n">
        <f aca="false">F257+G254</f>
        <v>2225320.257071</v>
      </c>
      <c r="H257" s="21" t="n">
        <f aca="false">G257+H254</f>
        <v>3225388.69308818</v>
      </c>
      <c r="I257" s="21" t="n">
        <f aca="false">H257+I254</f>
        <v>4432079.0747981</v>
      </c>
      <c r="J257" s="21" t="n">
        <f aca="false">I257+J254</f>
        <v>5232970.16083527</v>
      </c>
      <c r="K257" s="21" t="n">
        <f aca="false">J257+K254</f>
        <v>6474237.72432646</v>
      </c>
      <c r="L257" s="21" t="n">
        <f aca="false">K257+L254</f>
        <v>9352153.7805323</v>
      </c>
    </row>
    <row r="258" customFormat="false" ht="15" hidden="false" customHeight="false" outlineLevel="0" collapsed="false">
      <c r="A258" s="7" t="s">
        <v>154</v>
      </c>
      <c r="B258" s="21" t="n">
        <f aca="false">0</f>
        <v>0</v>
      </c>
      <c r="C258" s="21" t="n">
        <f aca="false">1*MIN(C256,MAX(0,C257*CatchUp-B259))</f>
        <v>0</v>
      </c>
      <c r="D258" s="21" t="n">
        <f aca="false">1*MIN(D256,MAX(0,D257*CatchUp-C259))</f>
        <v>0</v>
      </c>
      <c r="E258" s="21" t="n">
        <f aca="false">1*MIN(E256,MAX(0,E257*CatchUp-D259))</f>
        <v>0</v>
      </c>
      <c r="F258" s="21" t="n">
        <f aca="false">1*MIN(F256,MAX(0,F257*CatchUp-E259))</f>
        <v>0</v>
      </c>
      <c r="G258" s="21" t="n">
        <f aca="false">1*MIN(G256,MAX(0,G257*CatchUp-F259))</f>
        <v>0</v>
      </c>
      <c r="H258" s="21" t="n">
        <f aca="false">1*MIN(H256,MAX(0,H257*CatchUp-G259))</f>
        <v>0</v>
      </c>
      <c r="I258" s="21" t="n">
        <f aca="false">1*MIN(I256,MAX(0,I257*CatchUp-H259))</f>
        <v>0</v>
      </c>
      <c r="J258" s="21" t="n">
        <f aca="false">1*MIN(J256,MAX(0,J257*CatchUp-I259))</f>
        <v>0</v>
      </c>
      <c r="K258" s="21" t="n">
        <f aca="false">1*MIN(K256,MAX(0,K257*CatchUp-J259))</f>
        <v>0</v>
      </c>
      <c r="L258" s="21" t="n">
        <f aca="false">1*MIN(L256,MAX(0,L257*CatchUp-K259))</f>
        <v>2338038.44513307</v>
      </c>
    </row>
    <row r="259" customFormat="false" ht="15" hidden="false" customHeight="false" outlineLevel="0" collapsed="false">
      <c r="A259" s="7" t="s">
        <v>156</v>
      </c>
      <c r="B259" s="21" t="n">
        <f aca="false">0</f>
        <v>0</v>
      </c>
      <c r="C259" s="21" t="n">
        <f aca="false">B259+C258+(C256-C258)*Promote</f>
        <v>0</v>
      </c>
      <c r="D259" s="21" t="n">
        <f aca="false">C259+D258+(D256-D258)*Promote</f>
        <v>0</v>
      </c>
      <c r="E259" s="21" t="n">
        <f aca="false">D259+E258+(E256-E258)*Promote</f>
        <v>0</v>
      </c>
      <c r="F259" s="21" t="n">
        <f aca="false">E259+F258+(F256-F258)*Promote</f>
        <v>0</v>
      </c>
      <c r="G259" s="21" t="n">
        <f aca="false">F259+G258+(G256-G258)*Promote</f>
        <v>0</v>
      </c>
      <c r="H259" s="21" t="n">
        <f aca="false">G259+H258+(H256-H258)*Promote</f>
        <v>0</v>
      </c>
      <c r="I259" s="21" t="n">
        <f aca="false">H259+I258+(I256-I258)*Promote</f>
        <v>0</v>
      </c>
      <c r="J259" s="21" t="n">
        <f aca="false">I259+J258+(J256-J258)*Promote</f>
        <v>0</v>
      </c>
      <c r="K259" s="21" t="n">
        <f aca="false">J259+K258+(K256-K258)*Promote</f>
        <v>0</v>
      </c>
      <c r="L259" s="21" t="n">
        <f aca="false">K259+L258+(L256-L258)*Promote</f>
        <v>3132370.80280008</v>
      </c>
    </row>
    <row r="260" customFormat="false" ht="15" hidden="false" customHeight="false" outlineLevel="0" collapsed="false">
      <c r="A260" s="7" t="s">
        <v>158</v>
      </c>
      <c r="B260" s="21" t="n">
        <f aca="false">-B249</f>
        <v>9918480</v>
      </c>
      <c r="C260" s="21" t="n">
        <f aca="false">C250-C255+C253</f>
        <v>9918480</v>
      </c>
      <c r="D260" s="21" t="n">
        <f aca="false">D250-D255+D253</f>
        <v>9918480</v>
      </c>
      <c r="E260" s="21" t="n">
        <f aca="false">E250-E255+E253</f>
        <v>9918480</v>
      </c>
      <c r="F260" s="21" t="n">
        <f aca="false">F250-F255+F253</f>
        <v>9918480</v>
      </c>
      <c r="G260" s="21" t="n">
        <f aca="false">G250-G255+G253</f>
        <v>9918480</v>
      </c>
      <c r="H260" s="21" t="n">
        <f aca="false">H250-H255+H253</f>
        <v>9918480</v>
      </c>
      <c r="I260" s="21" t="n">
        <f aca="false">I250-I255+I253</f>
        <v>9918480</v>
      </c>
      <c r="J260" s="21" t="n">
        <f aca="false">J250-J255+J253</f>
        <v>9918480</v>
      </c>
      <c r="K260" s="21" t="n">
        <f aca="false">K250-K255+K253</f>
        <v>9918480</v>
      </c>
      <c r="L260" s="21" t="n">
        <f aca="false">L250-L255+L253</f>
        <v>0</v>
      </c>
    </row>
    <row r="261" customFormat="false" ht="15" hidden="false" customHeight="false" outlineLevel="0" collapsed="false">
      <c r="A261" s="7" t="s">
        <v>159</v>
      </c>
      <c r="B261" s="21" t="n">
        <f aca="false">0</f>
        <v>0</v>
      </c>
      <c r="C261" s="21" t="n">
        <f aca="false">C251+C252-C254</f>
        <v>793478.4</v>
      </c>
      <c r="D261" s="21" t="n">
        <f aca="false">D251+D252-D254</f>
        <v>1589478.24</v>
      </c>
      <c r="E261" s="21" t="n">
        <f aca="false">E251+E252-E254</f>
        <v>2218525.74148</v>
      </c>
      <c r="F261" s="21" t="n">
        <f aca="false">F251+F252-F254</f>
        <v>2362693.5755547</v>
      </c>
      <c r="G261" s="21" t="n">
        <f aca="false">G251+G252-G254</f>
        <v>2299205.81949177</v>
      </c>
      <c r="H261" s="21" t="n">
        <f aca="false">H251+H252-H254</f>
        <v>2276552.24903394</v>
      </c>
      <c r="I261" s="21" t="n">
        <f aca="false">I251+I252-I254</f>
        <v>2045464.44724674</v>
      </c>
      <c r="J261" s="21" t="n">
        <f aca="false">J251+J252-J254</f>
        <v>2201688.9169893</v>
      </c>
      <c r="K261" s="21" t="n">
        <f aca="false">K251+K252-K254</f>
        <v>1930034.86685726</v>
      </c>
      <c r="L261" s="21" t="n">
        <f aca="false">L251+L252-L254</f>
        <v>0</v>
      </c>
    </row>
    <row r="262" customFormat="false" ht="15" hidden="false" customHeight="false" outlineLevel="0" collapsed="false">
      <c r="A262" s="7" t="s">
        <v>157</v>
      </c>
      <c r="B262" s="21" t="n">
        <f aca="false">B249</f>
        <v>-9918480</v>
      </c>
      <c r="C262" s="21" t="n">
        <f aca="false">IF(C249&lt;0,C249,C254+C255+(C256-C258)*(1-Promote))</f>
        <v>-1281207.292</v>
      </c>
      <c r="D262" s="21" t="n">
        <f aca="false">IF(D249&lt;0,D249,D254+D255+(D256-D258)*(1-Promote))</f>
        <v>60956.8319999999</v>
      </c>
      <c r="E262" s="21" t="n">
        <f aca="false">IF(E249&lt;0,E249,E254+E255+(E256-E258)*(1-Promote))</f>
        <v>291589.15772</v>
      </c>
      <c r="F262" s="21" t="n">
        <f aca="false">IF(F249&lt;0,F249,F254+F255+(F256-F258)*(1-Promote))</f>
        <v>826792.6252437</v>
      </c>
      <c r="G262" s="21" t="n">
        <f aca="false">IF(G249&lt;0,G249,G254+G255+(G256-G258)*(1-Promote))</f>
        <v>1045981.6421073</v>
      </c>
      <c r="H262" s="21" t="n">
        <f aca="false">IF(H249&lt;0,H249,H254+H255+(H256-H258)*(1-Promote))</f>
        <v>1000068.43601717</v>
      </c>
      <c r="I262" s="21" t="n">
        <f aca="false">IF(I249&lt;0,I249,I254+I255+(I256-I258)*(1-Promote))</f>
        <v>1206690.38170992</v>
      </c>
      <c r="J262" s="21" t="n">
        <f aca="false">IF(J249&lt;0,J249,J254+J255+(J256-J258)*(1-Promote))</f>
        <v>800891.086037178</v>
      </c>
      <c r="K262" s="21" t="n">
        <f aca="false">IF(K249&lt;0,K249,K254+K255+(K256-K258)*(1-Promote))</f>
        <v>1241267.56349119</v>
      </c>
      <c r="L262" s="21" t="n">
        <f aca="false">IF(L249&lt;0,L249,L254+L255+(L256-L258)*(1-Promote))</f>
        <v>15973725.4868739</v>
      </c>
    </row>
    <row r="264" customFormat="false" ht="15" hidden="false" customHeight="false" outlineLevel="0" collapsed="false">
      <c r="A264" s="11" t="s">
        <v>248</v>
      </c>
    </row>
    <row r="265" customFormat="false" ht="15" hidden="false" customHeight="false" outlineLevel="0" collapsed="false">
      <c r="A265" s="7" t="s">
        <v>144</v>
      </c>
      <c r="B265" s="21" t="n">
        <f aca="false">B11</f>
        <v>-13834920</v>
      </c>
      <c r="C265" s="21" t="n">
        <f aca="false">C11</f>
        <v>-1108947.292</v>
      </c>
      <c r="D265" s="21" t="n">
        <f aca="false">D11</f>
        <v>233216.832</v>
      </c>
      <c r="E265" s="21" t="n">
        <f aca="false">E11</f>
        <v>463849.15772</v>
      </c>
      <c r="F265" s="21" t="n">
        <f aca="false">F11</f>
        <v>999052.6252437</v>
      </c>
      <c r="G265" s="21" t="n">
        <f aca="false">G11</f>
        <v>1218241.6421073</v>
      </c>
      <c r="H265" s="21" t="n">
        <f aca="false">H11</f>
        <v>1172328.43601717</v>
      </c>
      <c r="I265" s="21" t="n">
        <f aca="false">I11</f>
        <v>1378950.38170992</v>
      </c>
      <c r="J265" s="21" t="n">
        <f aca="false">J11</f>
        <v>973151.086037178</v>
      </c>
      <c r="K265" s="21" t="n">
        <f aca="false">K11</f>
        <v>1413527.56349119</v>
      </c>
      <c r="L265" s="21" t="n">
        <f aca="false">L11</f>
        <v>23238356.289674</v>
      </c>
    </row>
    <row r="266" customFormat="false" ht="15" hidden="false" customHeight="false" outlineLevel="0" collapsed="false">
      <c r="A266" s="7" t="s">
        <v>145</v>
      </c>
      <c r="B266" s="21" t="n">
        <f aca="false">0</f>
        <v>0</v>
      </c>
      <c r="C266" s="21" t="n">
        <f aca="false">B276</f>
        <v>13834920</v>
      </c>
      <c r="D266" s="21" t="n">
        <f aca="false">C276</f>
        <v>14943867.292</v>
      </c>
      <c r="E266" s="21" t="n">
        <f aca="false">D276</f>
        <v>14943867.292</v>
      </c>
      <c r="F266" s="21" t="n">
        <f aca="false">E276</f>
        <v>14943867.292</v>
      </c>
      <c r="G266" s="21" t="n">
        <f aca="false">F276</f>
        <v>14943867.292</v>
      </c>
      <c r="H266" s="21" t="n">
        <f aca="false">G276</f>
        <v>14943867.292</v>
      </c>
      <c r="I266" s="21" t="n">
        <f aca="false">H276</f>
        <v>14943867.292</v>
      </c>
      <c r="J266" s="21" t="n">
        <f aca="false">I276</f>
        <v>14943867.292</v>
      </c>
      <c r="K266" s="21" t="n">
        <f aca="false">J276</f>
        <v>14943867.292</v>
      </c>
      <c r="L266" s="21" t="n">
        <f aca="false">K276</f>
        <v>14943867.292</v>
      </c>
    </row>
    <row r="267" customFormat="false" ht="15" hidden="false" customHeight="false" outlineLevel="0" collapsed="false">
      <c r="A267" s="7" t="s">
        <v>146</v>
      </c>
      <c r="B267" s="21" t="n">
        <f aca="false">0</f>
        <v>0</v>
      </c>
      <c r="C267" s="21" t="n">
        <f aca="false">B277</f>
        <v>0</v>
      </c>
      <c r="D267" s="21" t="n">
        <f aca="false">C277</f>
        <v>1106793.6</v>
      </c>
      <c r="E267" s="21" t="n">
        <f aca="false">D277</f>
        <v>2157629.63936</v>
      </c>
      <c r="F267" s="21" t="n">
        <f aca="false">E277</f>
        <v>3061900.2361488</v>
      </c>
      <c r="G267" s="21" t="n">
        <f aca="false">F277</f>
        <v>3503309.013157</v>
      </c>
      <c r="H267" s="21" t="n">
        <f aca="false">G277</f>
        <v>3760841.47546226</v>
      </c>
      <c r="I267" s="21" t="n">
        <f aca="false">H277</f>
        <v>4084889.74084207</v>
      </c>
      <c r="J267" s="21" t="n">
        <f aca="false">I277</f>
        <v>4228239.92175951</v>
      </c>
      <c r="K267" s="21" t="n">
        <f aca="false">J277</f>
        <v>4788857.4128231</v>
      </c>
      <c r="L267" s="21" t="n">
        <f aca="false">K277</f>
        <v>4953947.82571776</v>
      </c>
    </row>
    <row r="268" customFormat="false" ht="15" hidden="false" customHeight="false" outlineLevel="0" collapsed="false">
      <c r="A268" s="7" t="s">
        <v>147</v>
      </c>
      <c r="B268" s="21" t="n">
        <f aca="false">0</f>
        <v>0</v>
      </c>
      <c r="C268" s="21" t="n">
        <f aca="false">(C266+C267)*Pref</f>
        <v>1106793.6</v>
      </c>
      <c r="D268" s="21" t="n">
        <f aca="false">(D266+D267)*Pref</f>
        <v>1284052.87136</v>
      </c>
      <c r="E268" s="21" t="n">
        <f aca="false">(E266+E267)*Pref</f>
        <v>1368119.7545088</v>
      </c>
      <c r="F268" s="21" t="n">
        <f aca="false">(F266+F267)*Pref</f>
        <v>1440461.4022519</v>
      </c>
      <c r="G268" s="21" t="n">
        <f aca="false">(G266+G267)*Pref</f>
        <v>1475774.10441256</v>
      </c>
      <c r="H268" s="21" t="n">
        <f aca="false">(H266+H267)*Pref</f>
        <v>1496376.70139698</v>
      </c>
      <c r="I268" s="21" t="n">
        <f aca="false">(I266+I267)*Pref</f>
        <v>1522300.56262737</v>
      </c>
      <c r="J268" s="21" t="n">
        <f aca="false">(J266+J267)*Pref</f>
        <v>1533768.57710076</v>
      </c>
      <c r="K268" s="21" t="n">
        <f aca="false">(K266+K267)*Pref</f>
        <v>1578617.97638585</v>
      </c>
      <c r="L268" s="21" t="n">
        <f aca="false">(L266+L267)*Pref</f>
        <v>1591825.20941742</v>
      </c>
    </row>
    <row r="269" customFormat="false" ht="15" hidden="false" customHeight="false" outlineLevel="0" collapsed="false">
      <c r="A269" s="7" t="s">
        <v>148</v>
      </c>
      <c r="B269" s="21" t="n">
        <f aca="false">0</f>
        <v>0</v>
      </c>
      <c r="C269" s="21" t="n">
        <f aca="false">IF(C265&lt;0,-C265*1,0)</f>
        <v>1108947.292</v>
      </c>
      <c r="D269" s="21" t="n">
        <f aca="false">IF(D265&lt;0,-D265*1,0)</f>
        <v>0</v>
      </c>
      <c r="E269" s="21" t="n">
        <f aca="false">IF(E265&lt;0,-E265*1,0)</f>
        <v>0</v>
      </c>
      <c r="F269" s="21" t="n">
        <f aca="false">IF(F265&lt;0,-F265*1,0)</f>
        <v>0</v>
      </c>
      <c r="G269" s="21" t="n">
        <f aca="false">IF(G265&lt;0,-G265*1,0)</f>
        <v>0</v>
      </c>
      <c r="H269" s="21" t="n">
        <f aca="false">IF(H265&lt;0,-H265*1,0)</f>
        <v>0</v>
      </c>
      <c r="I269" s="21" t="n">
        <f aca="false">IF(I265&lt;0,-I265*1,0)</f>
        <v>0</v>
      </c>
      <c r="J269" s="21" t="n">
        <f aca="false">IF(J265&lt;0,-J265*1,0)</f>
        <v>0</v>
      </c>
      <c r="K269" s="21" t="n">
        <f aca="false">IF(K265&lt;0,-K265*1,0)</f>
        <v>0</v>
      </c>
      <c r="L269" s="21" t="n">
        <f aca="false">IF(L265&lt;0,-L265*1,0)</f>
        <v>0</v>
      </c>
    </row>
    <row r="270" customFormat="false" ht="15" hidden="false" customHeight="false" outlineLevel="0" collapsed="false">
      <c r="A270" s="7" t="s">
        <v>149</v>
      </c>
      <c r="B270" s="21" t="n">
        <f aca="false">0</f>
        <v>0</v>
      </c>
      <c r="C270" s="21" t="n">
        <f aca="false">IF(C265&gt;0,MIN(C265,C267+C268),0)</f>
        <v>0</v>
      </c>
      <c r="D270" s="21" t="n">
        <f aca="false">IF(D265&gt;0,MIN(D265,D267+D268),0)</f>
        <v>233216.832</v>
      </c>
      <c r="E270" s="21" t="n">
        <f aca="false">IF(E265&gt;0,MIN(E265,E267+E268),0)</f>
        <v>463849.15772</v>
      </c>
      <c r="F270" s="21" t="n">
        <f aca="false">IF(F265&gt;0,MIN(F265,F267+F268),0)</f>
        <v>999052.6252437</v>
      </c>
      <c r="G270" s="21" t="n">
        <f aca="false">IF(G265&gt;0,MIN(G265,G267+G268),0)</f>
        <v>1218241.6421073</v>
      </c>
      <c r="H270" s="21" t="n">
        <f aca="false">IF(H265&gt;0,MIN(H265,H267+H268),0)</f>
        <v>1172328.43601717</v>
      </c>
      <c r="I270" s="21" t="n">
        <f aca="false">IF(I265&gt;0,MIN(I265,I267+I268),0)</f>
        <v>1378950.38170992</v>
      </c>
      <c r="J270" s="21" t="n">
        <f aca="false">IF(J265&gt;0,MIN(J265,J267+J268),0)</f>
        <v>973151.086037178</v>
      </c>
      <c r="K270" s="21" t="n">
        <f aca="false">IF(K265&gt;0,MIN(K265,K267+K268),0)</f>
        <v>1413527.56349119</v>
      </c>
      <c r="L270" s="21" t="n">
        <f aca="false">IF(L265&gt;0,MIN(L265,L267+L268),0)</f>
        <v>6545773.03513518</v>
      </c>
    </row>
    <row r="271" customFormat="false" ht="15" hidden="false" customHeight="false" outlineLevel="0" collapsed="false">
      <c r="A271" s="7" t="s">
        <v>150</v>
      </c>
      <c r="B271" s="21" t="n">
        <f aca="false">0</f>
        <v>0</v>
      </c>
      <c r="C271" s="21" t="n">
        <f aca="false">IF(C265&gt;0,MIN(C265-C270,C266),0)</f>
        <v>0</v>
      </c>
      <c r="D271" s="21" t="n">
        <f aca="false">IF(D265&gt;0,MIN(D265-D270,D266),0)</f>
        <v>0</v>
      </c>
      <c r="E271" s="21" t="n">
        <f aca="false">IF(E265&gt;0,MIN(E265-E270,E266),0)</f>
        <v>0</v>
      </c>
      <c r="F271" s="21" t="n">
        <f aca="false">IF(F265&gt;0,MIN(F265-F270,F266),0)</f>
        <v>0</v>
      </c>
      <c r="G271" s="21" t="n">
        <f aca="false">IF(G265&gt;0,MIN(G265-G270,G266),0)</f>
        <v>0</v>
      </c>
      <c r="H271" s="21" t="n">
        <f aca="false">IF(H265&gt;0,MIN(H265-H270,H266),0)</f>
        <v>0</v>
      </c>
      <c r="I271" s="21" t="n">
        <f aca="false">IF(I265&gt;0,MIN(I265-I270,I266),0)</f>
        <v>0</v>
      </c>
      <c r="J271" s="21" t="n">
        <f aca="false">IF(J265&gt;0,MIN(J265-J270,J266),0)</f>
        <v>0</v>
      </c>
      <c r="K271" s="21" t="n">
        <f aca="false">IF(K265&gt;0,MIN(K265-K270,K266),0)</f>
        <v>0</v>
      </c>
      <c r="L271" s="21" t="n">
        <f aca="false">IF(L265&gt;0,MIN(L265-L270,L266),0)</f>
        <v>14943867.292</v>
      </c>
    </row>
    <row r="272" customFormat="false" ht="15" hidden="false" customHeight="false" outlineLevel="0" collapsed="false">
      <c r="A272" s="7" t="s">
        <v>151</v>
      </c>
      <c r="B272" s="21" t="n">
        <f aca="false">0</f>
        <v>0</v>
      </c>
      <c r="C272" s="21" t="n">
        <f aca="false">IF(C265&gt;0,C265-C270-C271,0)</f>
        <v>0</v>
      </c>
      <c r="D272" s="21" t="n">
        <f aca="false">IF(D265&gt;0,D265-D270-D271,0)</f>
        <v>0</v>
      </c>
      <c r="E272" s="21" t="n">
        <f aca="false">IF(E265&gt;0,E265-E270-E271,0)</f>
        <v>0</v>
      </c>
      <c r="F272" s="21" t="n">
        <f aca="false">IF(F265&gt;0,F265-F270-F271,0)</f>
        <v>0</v>
      </c>
      <c r="G272" s="21" t="n">
        <f aca="false">IF(G265&gt;0,G265-G270-G271,0)</f>
        <v>0</v>
      </c>
      <c r="H272" s="21" t="n">
        <f aca="false">IF(H265&gt;0,H265-H270-H271,0)</f>
        <v>0</v>
      </c>
      <c r="I272" s="21" t="n">
        <f aca="false">IF(I265&gt;0,I265-I270-I271,0)</f>
        <v>0</v>
      </c>
      <c r="J272" s="21" t="n">
        <f aca="false">IF(J265&gt;0,J265-J270-J271,0)</f>
        <v>0</v>
      </c>
      <c r="K272" s="21" t="n">
        <f aca="false">IF(K265&gt;0,K265-K270-K271,0)</f>
        <v>0</v>
      </c>
      <c r="L272" s="21" t="n">
        <f aca="false">IF(L265&gt;0,L265-L270-L271,0)</f>
        <v>1748715.96253878</v>
      </c>
    </row>
    <row r="273" customFormat="false" ht="15" hidden="false" customHeight="false" outlineLevel="0" collapsed="false">
      <c r="A273" s="7" t="s">
        <v>152</v>
      </c>
      <c r="B273" s="21" t="n">
        <f aca="false">0</f>
        <v>0</v>
      </c>
      <c r="C273" s="21" t="n">
        <f aca="false">B273+C270</f>
        <v>0</v>
      </c>
      <c r="D273" s="21" t="n">
        <f aca="false">C273+D270</f>
        <v>233216.832</v>
      </c>
      <c r="E273" s="21" t="n">
        <f aca="false">D273+E270</f>
        <v>697065.98972</v>
      </c>
      <c r="F273" s="21" t="n">
        <f aca="false">E273+F270</f>
        <v>1696118.6149637</v>
      </c>
      <c r="G273" s="21" t="n">
        <f aca="false">F273+G270</f>
        <v>2914360.257071</v>
      </c>
      <c r="H273" s="21" t="n">
        <f aca="false">G273+H270</f>
        <v>4086688.69308818</v>
      </c>
      <c r="I273" s="21" t="n">
        <f aca="false">H273+I270</f>
        <v>5465639.0747981</v>
      </c>
      <c r="J273" s="21" t="n">
        <f aca="false">I273+J270</f>
        <v>6438790.16083527</v>
      </c>
      <c r="K273" s="21" t="n">
        <f aca="false">J273+K270</f>
        <v>7852317.72432646</v>
      </c>
      <c r="L273" s="21" t="n">
        <f aca="false">K273+L270</f>
        <v>14398090.7594616</v>
      </c>
    </row>
    <row r="274" customFormat="false" ht="15" hidden="false" customHeight="false" outlineLevel="0" collapsed="false">
      <c r="A274" s="7" t="s">
        <v>154</v>
      </c>
      <c r="B274" s="21" t="n">
        <f aca="false">0</f>
        <v>0</v>
      </c>
      <c r="C274" s="21" t="n">
        <f aca="false">0*MIN(C272,MAX(0,C273*CatchUp-B275))</f>
        <v>0</v>
      </c>
      <c r="D274" s="21" t="n">
        <f aca="false">0*MIN(D272,MAX(0,D273*CatchUp-C275))</f>
        <v>0</v>
      </c>
      <c r="E274" s="21" t="n">
        <f aca="false">0*MIN(E272,MAX(0,E273*CatchUp-D275))</f>
        <v>0</v>
      </c>
      <c r="F274" s="21" t="n">
        <f aca="false">0*MIN(F272,MAX(0,F273*CatchUp-E275))</f>
        <v>0</v>
      </c>
      <c r="G274" s="21" t="n">
        <f aca="false">0*MIN(G272,MAX(0,G273*CatchUp-F275))</f>
        <v>0</v>
      </c>
      <c r="H274" s="21" t="n">
        <f aca="false">0*MIN(H272,MAX(0,H273*CatchUp-G275))</f>
        <v>0</v>
      </c>
      <c r="I274" s="21" t="n">
        <f aca="false">0*MIN(I272,MAX(0,I273*CatchUp-H275))</f>
        <v>0</v>
      </c>
      <c r="J274" s="21" t="n">
        <f aca="false">0*MIN(J272,MAX(0,J273*CatchUp-I275))</f>
        <v>0</v>
      </c>
      <c r="K274" s="21" t="n">
        <f aca="false">0*MIN(K272,MAX(0,K273*CatchUp-J275))</f>
        <v>0</v>
      </c>
      <c r="L274" s="21" t="n">
        <f aca="false">0*MIN(L272,MAX(0,L273*CatchUp-K275))</f>
        <v>0</v>
      </c>
    </row>
    <row r="275" customFormat="false" ht="15" hidden="false" customHeight="false" outlineLevel="0" collapsed="false">
      <c r="A275" s="7" t="s">
        <v>156</v>
      </c>
      <c r="B275" s="21" t="n">
        <f aca="false">0</f>
        <v>0</v>
      </c>
      <c r="C275" s="21" t="n">
        <f aca="false">B275+C274+(C272-C274)*Promote</f>
        <v>0</v>
      </c>
      <c r="D275" s="21" t="n">
        <f aca="false">C275+D274+(D272-D274)*Promote</f>
        <v>0</v>
      </c>
      <c r="E275" s="21" t="n">
        <f aca="false">D275+E274+(E272-E274)*Promote</f>
        <v>0</v>
      </c>
      <c r="F275" s="21" t="n">
        <f aca="false">E275+F274+(F272-F274)*Promote</f>
        <v>0</v>
      </c>
      <c r="G275" s="21" t="n">
        <f aca="false">F275+G274+(G272-G274)*Promote</f>
        <v>0</v>
      </c>
      <c r="H275" s="21" t="n">
        <f aca="false">G275+H274+(H272-H274)*Promote</f>
        <v>0</v>
      </c>
      <c r="I275" s="21" t="n">
        <f aca="false">H275+I274+(I272-I274)*Promote</f>
        <v>0</v>
      </c>
      <c r="J275" s="21" t="n">
        <f aca="false">I275+J274+(J272-J274)*Promote</f>
        <v>0</v>
      </c>
      <c r="K275" s="21" t="n">
        <f aca="false">J275+K274+(K272-K274)*Promote</f>
        <v>0</v>
      </c>
      <c r="L275" s="21" t="n">
        <f aca="false">K275+L274+(L272-L274)*Promote</f>
        <v>349743.192507757</v>
      </c>
    </row>
    <row r="276" customFormat="false" ht="15" hidden="false" customHeight="false" outlineLevel="0" collapsed="false">
      <c r="A276" s="7" t="s">
        <v>158</v>
      </c>
      <c r="B276" s="21" t="n">
        <f aca="false">-B265</f>
        <v>13834920</v>
      </c>
      <c r="C276" s="21" t="n">
        <f aca="false">C266-C271+C269</f>
        <v>14943867.292</v>
      </c>
      <c r="D276" s="21" t="n">
        <f aca="false">D266-D271+D269</f>
        <v>14943867.292</v>
      </c>
      <c r="E276" s="21" t="n">
        <f aca="false">E266-E271+E269</f>
        <v>14943867.292</v>
      </c>
      <c r="F276" s="21" t="n">
        <f aca="false">F266-F271+F269</f>
        <v>14943867.292</v>
      </c>
      <c r="G276" s="21" t="n">
        <f aca="false">G266-G271+G269</f>
        <v>14943867.292</v>
      </c>
      <c r="H276" s="21" t="n">
        <f aca="false">H266-H271+H269</f>
        <v>14943867.292</v>
      </c>
      <c r="I276" s="21" t="n">
        <f aca="false">I266-I271+I269</f>
        <v>14943867.292</v>
      </c>
      <c r="J276" s="21" t="n">
        <f aca="false">J266-J271+J269</f>
        <v>14943867.292</v>
      </c>
      <c r="K276" s="21" t="n">
        <f aca="false">K266-K271+K269</f>
        <v>14943867.292</v>
      </c>
      <c r="L276" s="21" t="n">
        <f aca="false">L266-L271+L269</f>
        <v>0</v>
      </c>
    </row>
    <row r="277" customFormat="false" ht="15" hidden="false" customHeight="false" outlineLevel="0" collapsed="false">
      <c r="A277" s="7" t="s">
        <v>159</v>
      </c>
      <c r="B277" s="21" t="n">
        <f aca="false">0</f>
        <v>0</v>
      </c>
      <c r="C277" s="21" t="n">
        <f aca="false">C267+C268-C270</f>
        <v>1106793.6</v>
      </c>
      <c r="D277" s="21" t="n">
        <f aca="false">D267+D268-D270</f>
        <v>2157629.63936</v>
      </c>
      <c r="E277" s="21" t="n">
        <f aca="false">E267+E268-E270</f>
        <v>3061900.2361488</v>
      </c>
      <c r="F277" s="21" t="n">
        <f aca="false">F267+F268-F270</f>
        <v>3503309.013157</v>
      </c>
      <c r="G277" s="21" t="n">
        <f aca="false">G267+G268-G270</f>
        <v>3760841.47546226</v>
      </c>
      <c r="H277" s="21" t="n">
        <f aca="false">H267+H268-H270</f>
        <v>4084889.74084207</v>
      </c>
      <c r="I277" s="21" t="n">
        <f aca="false">I267+I268-I270</f>
        <v>4228239.92175951</v>
      </c>
      <c r="J277" s="21" t="n">
        <f aca="false">J267+J268-J270</f>
        <v>4788857.4128231</v>
      </c>
      <c r="K277" s="21" t="n">
        <f aca="false">K267+K268-K270</f>
        <v>4953947.82571776</v>
      </c>
      <c r="L277" s="21" t="n">
        <f aca="false">L267+L268-L270</f>
        <v>0</v>
      </c>
    </row>
    <row r="278" customFormat="false" ht="15" hidden="false" customHeight="false" outlineLevel="0" collapsed="false">
      <c r="A278" s="7" t="s">
        <v>157</v>
      </c>
      <c r="B278" s="21" t="n">
        <f aca="false">B265</f>
        <v>-13834920</v>
      </c>
      <c r="C278" s="21" t="n">
        <f aca="false">IF(C265&lt;0,C265,C270+C271+(C272-C274)*(1-Promote))</f>
        <v>-1108947.292</v>
      </c>
      <c r="D278" s="21" t="n">
        <f aca="false">IF(D265&lt;0,D265,D270+D271+(D272-D274)*(1-Promote))</f>
        <v>233216.832</v>
      </c>
      <c r="E278" s="21" t="n">
        <f aca="false">IF(E265&lt;0,E265,E270+E271+(E272-E274)*(1-Promote))</f>
        <v>463849.15772</v>
      </c>
      <c r="F278" s="21" t="n">
        <f aca="false">IF(F265&lt;0,F265,F270+F271+(F272-F274)*(1-Promote))</f>
        <v>999052.6252437</v>
      </c>
      <c r="G278" s="21" t="n">
        <f aca="false">IF(G265&lt;0,G265,G270+G271+(G272-G274)*(1-Promote))</f>
        <v>1218241.6421073</v>
      </c>
      <c r="H278" s="21" t="n">
        <f aca="false">IF(H265&lt;0,H265,H270+H271+(H272-H274)*(1-Promote))</f>
        <v>1172328.43601717</v>
      </c>
      <c r="I278" s="21" t="n">
        <f aca="false">IF(I265&lt;0,I265,I270+I271+(I272-I274)*(1-Promote))</f>
        <v>1378950.38170992</v>
      </c>
      <c r="J278" s="21" t="n">
        <f aca="false">IF(J265&lt;0,J265,J270+J271+(J272-J274)*(1-Promote))</f>
        <v>973151.086037178</v>
      </c>
      <c r="K278" s="21" t="n">
        <f aca="false">IF(K265&lt;0,K265,K270+K271+(K272-K274)*(1-Promote))</f>
        <v>1413527.56349119</v>
      </c>
      <c r="L278" s="21" t="n">
        <f aca="false">IF(L265&lt;0,L265,L270+L271+(L272-L274)*(1-Promote))</f>
        <v>22888613.0971662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8"/>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249</v>
      </c>
    </row>
    <row r="2" customFormat="false" ht="15" hidden="false" customHeight="false" outlineLevel="0" collapsed="false">
      <c r="A2" s="2" t="s">
        <v>250</v>
      </c>
    </row>
    <row r="3" customFormat="false" ht="15" hidden="false" customHeight="false" outlineLevel="0" collapsed="false">
      <c r="A3" s="3"/>
      <c r="B3" s="3"/>
      <c r="C3" s="3"/>
      <c r="D3" s="3"/>
      <c r="E3" s="3"/>
      <c r="F3" s="3"/>
    </row>
    <row r="5" customFormat="false" ht="15" hidden="false" customHeight="false" outlineLevel="0" collapsed="false">
      <c r="A5" s="18" t="s">
        <v>251</v>
      </c>
    </row>
    <row r="7" customFormat="false" ht="30" hidden="false" customHeight="true" outlineLevel="0" collapsed="false">
      <c r="A7" s="16" t="s">
        <v>252</v>
      </c>
      <c r="B7" s="17" t="s">
        <v>253</v>
      </c>
      <c r="C7" s="17" t="s">
        <v>254</v>
      </c>
      <c r="D7" s="17" t="s">
        <v>255</v>
      </c>
      <c r="E7" s="17" t="s">
        <v>256</v>
      </c>
      <c r="F7" s="17" t="s">
        <v>257</v>
      </c>
    </row>
    <row r="8" customFormat="false" ht="15" hidden="false" customHeight="false" outlineLevel="0" collapsed="false">
      <c r="A8" s="7" t="s">
        <v>258</v>
      </c>
      <c r="B8" s="7" t="s">
        <v>187</v>
      </c>
      <c r="C8" s="21" t="n">
        <v>13834920</v>
      </c>
      <c r="D8" s="21" t="n">
        <f aca="false">Equity0</f>
        <v>13834920</v>
      </c>
      <c r="E8" s="43" t="n">
        <f aca="false">D8-C8</f>
        <v>0</v>
      </c>
      <c r="F8" s="44" t="str">
        <f aca="false">IF(ABS(E8)&lt;=0.5,"PASS","FAIL")</f>
        <v>PASS</v>
      </c>
    </row>
    <row r="9" customFormat="false" ht="15" hidden="false" customHeight="false" outlineLevel="0" collapsed="false">
      <c r="A9" s="45" t="s">
        <v>258</v>
      </c>
      <c r="B9" s="45" t="s">
        <v>259</v>
      </c>
      <c r="C9" s="46" t="n">
        <v>-1108947</v>
      </c>
      <c r="D9" s="46" t="n">
        <f aca="false">'Cash flows'!C28</f>
        <v>-1108947.292</v>
      </c>
      <c r="E9" s="47" t="n">
        <f aca="false">D9-C9</f>
        <v>-0.292000000132248</v>
      </c>
      <c r="F9" s="48" t="str">
        <f aca="false">IF(ABS(E9)&lt;=0.5,"PASS","FAIL")</f>
        <v>PASS</v>
      </c>
    </row>
    <row r="10" customFormat="false" ht="15" hidden="false" customHeight="false" outlineLevel="0" collapsed="false">
      <c r="A10" s="7" t="s">
        <v>258</v>
      </c>
      <c r="B10" s="7" t="s">
        <v>161</v>
      </c>
      <c r="C10" s="21" t="n">
        <v>14943867</v>
      </c>
      <c r="D10" s="21" t="n">
        <f aca="false">Waterfall!B33</f>
        <v>14943867.292</v>
      </c>
      <c r="E10" s="43" t="n">
        <f aca="false">D10-C10</f>
        <v>0.291999997571111</v>
      </c>
      <c r="F10" s="44" t="str">
        <f aca="false">IF(ABS(E10)&lt;=0.5,"PASS","FAIL")</f>
        <v>PASS</v>
      </c>
    </row>
    <row r="11" customFormat="false" ht="15" hidden="false" customHeight="false" outlineLevel="0" collapsed="false">
      <c r="A11" s="45" t="s">
        <v>258</v>
      </c>
      <c r="B11" s="45" t="s">
        <v>162</v>
      </c>
      <c r="C11" s="46" t="n">
        <v>31090674</v>
      </c>
      <c r="D11" s="46" t="n">
        <f aca="false">Waterfall!B34</f>
        <v>31090674.0140004</v>
      </c>
      <c r="E11" s="47" t="n">
        <f aca="false">D11-C11</f>
        <v>0.0140004195272923</v>
      </c>
      <c r="F11" s="48" t="str">
        <f aca="false">IF(ABS(E11)&lt;=1,"PASS","FAIL")</f>
        <v>PASS</v>
      </c>
    </row>
    <row r="12" customFormat="false" ht="15" hidden="false" customHeight="false" outlineLevel="0" collapsed="false">
      <c r="A12" s="7" t="s">
        <v>258</v>
      </c>
      <c r="B12" s="7" t="s">
        <v>149</v>
      </c>
      <c r="C12" s="21" t="n">
        <v>14398091</v>
      </c>
      <c r="D12" s="21" t="n">
        <f aca="false">Waterfall!B35</f>
        <v>14398090.7594616</v>
      </c>
      <c r="E12" s="43" t="n">
        <f aca="false">D12-C12</f>
        <v>-0.240538362413645</v>
      </c>
      <c r="F12" s="44" t="str">
        <f aca="false">IF(ABS(E12)&lt;=1,"PASS","FAIL")</f>
        <v>PASS</v>
      </c>
    </row>
    <row r="13" customFormat="false" ht="15" hidden="false" customHeight="false" outlineLevel="0" collapsed="false">
      <c r="A13" s="45" t="s">
        <v>258</v>
      </c>
      <c r="B13" s="45" t="s">
        <v>260</v>
      </c>
      <c r="C13" s="46" t="n">
        <v>1748716</v>
      </c>
      <c r="D13" s="46" t="n">
        <f aca="false">Waterfall!B37</f>
        <v>1748715.96253878</v>
      </c>
      <c r="E13" s="47" t="n">
        <f aca="false">D13-C13</f>
        <v>-0.0374612156301737</v>
      </c>
      <c r="F13" s="48" t="str">
        <f aca="false">IF(ABS(E13)&lt;=1,"PASS","FAIL")</f>
        <v>PASS</v>
      </c>
    </row>
    <row r="14" customFormat="false" ht="15" hidden="false" customHeight="false" outlineLevel="0" collapsed="false">
      <c r="A14" s="7" t="s">
        <v>258</v>
      </c>
      <c r="B14" s="7" t="s">
        <v>261</v>
      </c>
      <c r="C14" s="21" t="n">
        <v>28233011</v>
      </c>
      <c r="D14" s="21" t="n">
        <f aca="false">Waterfall!B38</f>
        <v>28233010.7594616</v>
      </c>
      <c r="E14" s="43" t="n">
        <f aca="false">D14-C14</f>
        <v>-0.240538366138935</v>
      </c>
      <c r="F14" s="44" t="str">
        <f aca="false">IF(ABS(E14)&lt;=1,"PASS","FAIL")</f>
        <v>PASS</v>
      </c>
    </row>
    <row r="15" customFormat="false" ht="15" hidden="false" customHeight="false" outlineLevel="0" collapsed="false">
      <c r="A15" s="45" t="s">
        <v>258</v>
      </c>
      <c r="B15" s="45" t="s">
        <v>165</v>
      </c>
      <c r="C15" s="46" t="n">
        <v>29341958</v>
      </c>
      <c r="D15" s="46" t="n">
        <f aca="false">Waterfall!B39</f>
        <v>29341958.0514616</v>
      </c>
      <c r="E15" s="47" t="n">
        <f aca="false">D15-C15</f>
        <v>0.0514616332948208</v>
      </c>
      <c r="F15" s="48" t="str">
        <f aca="false">IF(ABS(E15)&lt;=1,"PASS","FAIL")</f>
        <v>PASS</v>
      </c>
    </row>
    <row r="16" customFormat="false" ht="15" hidden="false" customHeight="false" outlineLevel="0" collapsed="false">
      <c r="A16" s="7" t="s">
        <v>258</v>
      </c>
      <c r="B16" s="7" t="s">
        <v>166</v>
      </c>
      <c r="C16" s="23" t="n">
        <v>0.08</v>
      </c>
      <c r="D16" s="23" t="n">
        <f aca="false">Waterfall!B40</f>
        <v>0.08</v>
      </c>
      <c r="E16" s="43" t="n">
        <f aca="false">D16-C16</f>
        <v>0</v>
      </c>
      <c r="F16" s="44" t="str">
        <f aca="false">IF(ABS(E16)&lt;=0.0000005,"PASS","FAIL")</f>
        <v>PASS</v>
      </c>
    </row>
    <row r="17" customFormat="false" ht="15" hidden="false" customHeight="false" outlineLevel="0" collapsed="false">
      <c r="A17" s="45" t="s">
        <v>258</v>
      </c>
      <c r="B17" s="45" t="s">
        <v>168</v>
      </c>
      <c r="C17" s="46" t="n">
        <v>0</v>
      </c>
      <c r="D17" s="46" t="n">
        <f aca="false">Waterfall!B41</f>
        <v>0</v>
      </c>
      <c r="E17" s="47" t="n">
        <f aca="false">D17-C17</f>
        <v>0</v>
      </c>
      <c r="F17" s="48" t="str">
        <f aca="false">IF(ABS(E17)&lt;=1,"PASS","FAIL")</f>
        <v>PASS</v>
      </c>
    </row>
    <row r="18" customFormat="false" ht="15" hidden="false" customHeight="false" outlineLevel="0" collapsed="false">
      <c r="A18" s="7" t="s">
        <v>262</v>
      </c>
      <c r="B18" s="7" t="s">
        <v>47</v>
      </c>
      <c r="C18" s="21" t="n">
        <v>2114640</v>
      </c>
      <c r="D18" s="21" t="n">
        <f aca="false">AMTotal</f>
        <v>2114640</v>
      </c>
      <c r="E18" s="43" t="n">
        <f aca="false">D18-C18</f>
        <v>0</v>
      </c>
      <c r="F18" s="44" t="str">
        <f aca="false">IF(ABS(E18)&lt;=0.5,"PASS","FAIL")</f>
        <v>PASS</v>
      </c>
    </row>
    <row r="19" customFormat="false" ht="15" hidden="false" customHeight="false" outlineLevel="0" collapsed="false">
      <c r="A19" s="45" t="s">
        <v>262</v>
      </c>
      <c r="B19" s="45" t="s">
        <v>171</v>
      </c>
      <c r="C19" s="46" t="n">
        <v>3863356</v>
      </c>
      <c r="D19" s="46" t="n">
        <f aca="false">Waterfall!B47</f>
        <v>3863355.96253878</v>
      </c>
      <c r="E19" s="47" t="n">
        <f aca="false">D19-C19</f>
        <v>-0.0374612156301737</v>
      </c>
      <c r="F19" s="48" t="str">
        <f aca="false">IF(ABS(E19)&lt;=1,"PASS","FAIL")</f>
        <v>PASS</v>
      </c>
    </row>
    <row r="20" customFormat="false" ht="15" hidden="false" customHeight="false" outlineLevel="0" collapsed="false">
      <c r="A20" s="7" t="s">
        <v>263</v>
      </c>
      <c r="B20" s="7" t="s">
        <v>133</v>
      </c>
      <c r="C20" s="23" t="n">
        <v>0.086647</v>
      </c>
      <c r="D20" s="23" t="n">
        <f aca="false">'Cash flows'!B33</f>
        <v>0.0866467604777335</v>
      </c>
      <c r="E20" s="43" t="n">
        <f aca="false">D20-C20</f>
        <v>-2.39522266520797E-007</v>
      </c>
      <c r="F20" s="44" t="str">
        <f aca="false">IF(ABS(E20)&lt;=0.0000005,"PASS","FAIL")</f>
        <v>PASS</v>
      </c>
    </row>
    <row r="21" customFormat="false" ht="15" hidden="false" customHeight="false" outlineLevel="0" collapsed="false">
      <c r="A21" s="45" t="s">
        <v>263</v>
      </c>
      <c r="B21" s="45" t="s">
        <v>134</v>
      </c>
      <c r="C21" s="49" t="n">
        <v>2.1671</v>
      </c>
      <c r="D21" s="49" t="n">
        <f aca="false">'Cash flows'!B34</f>
        <v>2.16710517458723</v>
      </c>
      <c r="E21" s="47" t="n">
        <f aca="false">D21-C21</f>
        <v>5.17458723470199E-006</v>
      </c>
      <c r="F21" s="48" t="str">
        <f aca="false">IF(ABS(E21)&lt;=0.00005,"PASS","FAIL")</f>
        <v>PASS</v>
      </c>
    </row>
    <row r="22" customFormat="false" ht="15" hidden="false" customHeight="false" outlineLevel="0" collapsed="false">
      <c r="A22" s="7" t="s">
        <v>264</v>
      </c>
      <c r="B22" s="7" t="s">
        <v>265</v>
      </c>
      <c r="C22" s="21" t="n">
        <v>19056840</v>
      </c>
      <c r="D22" s="21" t="n">
        <f aca="false">Convention!C12</f>
        <v>19056840</v>
      </c>
      <c r="E22" s="43" t="n">
        <f aca="false">D22-C22</f>
        <v>0</v>
      </c>
      <c r="F22" s="44" t="str">
        <f aca="false">IF(ABS(E22)&lt;=0.5,"PASS","FAIL")</f>
        <v>PASS</v>
      </c>
    </row>
    <row r="23" customFormat="false" ht="15" hidden="false" customHeight="false" outlineLevel="0" collapsed="false">
      <c r="A23" s="45" t="s">
        <v>264</v>
      </c>
      <c r="B23" s="45" t="s">
        <v>266</v>
      </c>
      <c r="C23" s="50" t="n">
        <v>0.077299</v>
      </c>
      <c r="D23" s="50" t="n">
        <f aca="false">Convention!C20</f>
        <v>0.0772991345319895</v>
      </c>
      <c r="E23" s="47" t="n">
        <f aca="false">D23-C23</f>
        <v>1.34531989492981E-007</v>
      </c>
      <c r="F23" s="48" t="str">
        <f aca="false">IF(ABS(E23)&lt;=0.0000005,"PASS","FAIL")</f>
        <v>PASS</v>
      </c>
    </row>
    <row r="24" customFormat="false" ht="15" hidden="false" customHeight="false" outlineLevel="0" collapsed="false">
      <c r="A24" s="7" t="s">
        <v>264</v>
      </c>
      <c r="B24" s="7" t="s">
        <v>267</v>
      </c>
      <c r="C24" s="34" t="n">
        <v>1.9709</v>
      </c>
      <c r="D24" s="34" t="n">
        <f aca="false">Convention!C21</f>
        <v>1.97086855543733</v>
      </c>
      <c r="E24" s="43" t="n">
        <f aca="false">D24-C24</f>
        <v>-3.14445626652393E-005</v>
      </c>
      <c r="F24" s="44" t="str">
        <f aca="false">IF(ABS(E24)&lt;=0.00005,"PASS","FAIL")</f>
        <v>PASS</v>
      </c>
    </row>
    <row r="25" customFormat="false" ht="15" hidden="false" customHeight="false" outlineLevel="0" collapsed="false">
      <c r="A25" s="45" t="s">
        <v>264</v>
      </c>
      <c r="B25" s="45" t="s">
        <v>268</v>
      </c>
      <c r="C25" s="51" t="n">
        <v>3</v>
      </c>
      <c r="D25" s="51" t="n">
        <f aca="false">Convention!B13</f>
        <v>2.99695534898547</v>
      </c>
      <c r="E25" s="47" t="n">
        <f aca="false">D25-C25</f>
        <v>-0.00304465101453433</v>
      </c>
      <c r="F25" s="48" t="str">
        <f aca="false">IF(ABS(E25)&lt;=0.005,"PASS","FAIL")</f>
        <v>PASS</v>
      </c>
    </row>
    <row r="26" customFormat="false" ht="15" hidden="false" customHeight="false" outlineLevel="0" collapsed="false">
      <c r="A26" s="7" t="s">
        <v>264</v>
      </c>
      <c r="B26" s="7" t="s">
        <v>269</v>
      </c>
      <c r="C26" s="33" t="n">
        <v>4.71</v>
      </c>
      <c r="D26" s="33" t="n">
        <f aca="false">Convention!C13</f>
        <v>4.70950126269145</v>
      </c>
      <c r="E26" s="43" t="n">
        <f aca="false">D26-C26</f>
        <v>-0.00049873730855321</v>
      </c>
      <c r="F26" s="44" t="str">
        <f aca="false">IF(ABS(E26)&lt;=0.005,"PASS","FAIL")</f>
        <v>PASS</v>
      </c>
    </row>
    <row r="27" customFormat="false" ht="15" hidden="false" customHeight="false" outlineLevel="0" collapsed="false">
      <c r="A27" s="45" t="s">
        <v>264</v>
      </c>
      <c r="B27" s="45" t="s">
        <v>270</v>
      </c>
      <c r="C27" s="46" t="n">
        <v>-879267</v>
      </c>
      <c r="D27" s="46" t="n">
        <f aca="false">Convention!C22</f>
        <v>-879267.292</v>
      </c>
      <c r="E27" s="47" t="n">
        <f aca="false">D27-C27</f>
        <v>-0.292000000132248</v>
      </c>
      <c r="F27" s="48" t="str">
        <f aca="false">IF(ABS(E27)&lt;=0.5,"PASS","FAIL")</f>
        <v>PASS</v>
      </c>
    </row>
    <row r="28" customFormat="false" ht="15" hidden="false" customHeight="false" outlineLevel="0" collapsed="false">
      <c r="A28" s="7" t="s">
        <v>258</v>
      </c>
      <c r="B28" s="7" t="s">
        <v>271</v>
      </c>
      <c r="C28" s="21" t="n">
        <v>1748716</v>
      </c>
      <c r="D28" s="21" t="n">
        <f aca="false">Convention!B44</f>
        <v>1748715.96253878</v>
      </c>
      <c r="E28" s="43" t="n">
        <f aca="false">D28-C28</f>
        <v>-0.0374612156301737</v>
      </c>
      <c r="F28" s="44" t="str">
        <f aca="false">IF(ABS(E28)&lt;=1,"PASS","FAIL")</f>
        <v>PASS</v>
      </c>
    </row>
    <row r="29" customFormat="false" ht="15" hidden="false" customHeight="false" outlineLevel="0" collapsed="false">
      <c r="A29" s="45" t="s">
        <v>258</v>
      </c>
      <c r="B29" s="45" t="s">
        <v>272</v>
      </c>
      <c r="C29" s="46" t="n">
        <v>0</v>
      </c>
      <c r="D29" s="46" t="n">
        <f aca="false">Convention!B88</f>
        <v>0</v>
      </c>
      <c r="E29" s="47" t="n">
        <f aca="false">D29-C29</f>
        <v>0</v>
      </c>
      <c r="F29" s="48" t="str">
        <f aca="false">IF(ABS(E29)&lt;=1,"PASS","FAIL")</f>
        <v>PASS</v>
      </c>
    </row>
    <row r="30" customFormat="false" ht="15" hidden="false" customHeight="false" outlineLevel="0" collapsed="false">
      <c r="A30" s="7" t="s">
        <v>258</v>
      </c>
      <c r="B30" s="7" t="s">
        <v>273</v>
      </c>
      <c r="C30" s="21" t="n">
        <v>839915</v>
      </c>
      <c r="D30" s="21" t="n">
        <f aca="false">Convention!B110</f>
        <v>839915.393119827</v>
      </c>
      <c r="E30" s="43" t="n">
        <f aca="false">D30-C30</f>
        <v>0.39311982691288</v>
      </c>
      <c r="F30" s="44" t="str">
        <f aca="false">IF(ABS(E30)&lt;=1,"PASS","FAIL")</f>
        <v>PASS</v>
      </c>
    </row>
    <row r="31" customFormat="false" ht="15" hidden="false" customHeight="false" outlineLevel="0" collapsed="false">
      <c r="A31" s="45" t="s">
        <v>258</v>
      </c>
      <c r="B31" s="45" t="s">
        <v>274</v>
      </c>
      <c r="C31" s="46" t="n">
        <v>14398091</v>
      </c>
      <c r="D31" s="46" t="n">
        <f aca="false">Convention!B43</f>
        <v>14398090.7594616</v>
      </c>
      <c r="E31" s="47" t="n">
        <f aca="false">D31-C31</f>
        <v>-0.240538362413645</v>
      </c>
      <c r="F31" s="48" t="str">
        <f aca="false">IF(ABS(E31)&lt;=1,"PASS","FAIL")</f>
        <v>PASS</v>
      </c>
    </row>
    <row r="32" customFormat="false" ht="15" hidden="false" customHeight="false" outlineLevel="0" collapsed="false">
      <c r="A32" s="7" t="s">
        <v>258</v>
      </c>
      <c r="B32" s="7" t="s">
        <v>275</v>
      </c>
      <c r="C32" s="21" t="n">
        <v>1748716</v>
      </c>
      <c r="D32" s="21" t="n">
        <f aca="false">Waterfall!B54</f>
        <v>1748715.96253878</v>
      </c>
      <c r="E32" s="43" t="n">
        <f aca="false">D32-C32</f>
        <v>-0.0374612156301737</v>
      </c>
      <c r="F32" s="44" t="str">
        <f aca="false">IF(ABS(E32)&lt;=1,"PASS","FAIL")</f>
        <v>PASS</v>
      </c>
    </row>
    <row r="33" customFormat="false" ht="15" hidden="false" customHeight="false" outlineLevel="0" collapsed="false">
      <c r="A33" s="45" t="s">
        <v>258</v>
      </c>
      <c r="B33" s="45" t="s">
        <v>276</v>
      </c>
      <c r="C33" s="46" t="n">
        <v>14943867</v>
      </c>
      <c r="D33" s="46" t="n">
        <f aca="false">Waterfall!B36</f>
        <v>14943867.292</v>
      </c>
      <c r="E33" s="47" t="n">
        <f aca="false">D33-C33</f>
        <v>0.291999997571111</v>
      </c>
      <c r="F33" s="48" t="str">
        <f aca="false">IF(ABS(E33)&lt;=1,"PASS","FAIL")</f>
        <v>PASS</v>
      </c>
    </row>
    <row r="34" customFormat="false" ht="15" hidden="false" customHeight="false" outlineLevel="0" collapsed="false">
      <c r="A34" s="7" t="s">
        <v>264</v>
      </c>
      <c r="B34" s="7" t="s">
        <v>277</v>
      </c>
      <c r="C34" s="21" t="n">
        <v>9918480</v>
      </c>
      <c r="D34" s="21" t="n">
        <f aca="false">'Gearing ladder'!B24</f>
        <v>9918480</v>
      </c>
      <c r="E34" s="21" t="n">
        <f aca="false">D34-C34</f>
        <v>0</v>
      </c>
      <c r="F34" s="11" t="str">
        <f aca="false">IF(ABS(E34)&lt;=0.5,"PASS","FAIL")</f>
        <v>PASS</v>
      </c>
    </row>
    <row r="35" customFormat="false" ht="15" hidden="false" customHeight="false" outlineLevel="0" collapsed="false">
      <c r="A35" s="7" t="s">
        <v>264</v>
      </c>
      <c r="B35" s="7" t="s">
        <v>278</v>
      </c>
      <c r="C35" s="23" t="n">
        <v>0.068205</v>
      </c>
      <c r="D35" s="23" t="n">
        <f aca="false">'Gearing ladder'!C18</f>
        <v>0.0682054638348641</v>
      </c>
      <c r="E35" s="23" t="n">
        <f aca="false">D35-C35</f>
        <v>4.63834864058987E-007</v>
      </c>
      <c r="F35" s="11" t="str">
        <f aca="false">IF(ABS(E35)&lt;=0.0000005,"PASS","FAIL")</f>
        <v>PASS</v>
      </c>
    </row>
    <row r="36" customFormat="false" ht="15" hidden="false" customHeight="false" outlineLevel="0" collapsed="false">
      <c r="A36" s="7" t="s">
        <v>264</v>
      </c>
      <c r="B36" s="7" t="s">
        <v>279</v>
      </c>
      <c r="C36" s="23" t="n">
        <v>0.072653</v>
      </c>
      <c r="D36" s="23" t="n">
        <f aca="false">'Gearing ladder'!C19</f>
        <v>0.0726533937916019</v>
      </c>
      <c r="E36" s="23" t="n">
        <f aca="false">D36-C36</f>
        <v>3.93791601924209E-007</v>
      </c>
      <c r="F36" s="11" t="str">
        <f aca="false">IF(ABS(E36)&lt;=0.0000005,"PASS","FAIL")</f>
        <v>PASS</v>
      </c>
    </row>
    <row r="37" customFormat="false" ht="15" hidden="false" customHeight="false" outlineLevel="0" collapsed="false">
      <c r="A37" s="7" t="s">
        <v>264</v>
      </c>
      <c r="B37" s="7" t="s">
        <v>280</v>
      </c>
      <c r="C37" s="23" t="n">
        <v>0.081378</v>
      </c>
      <c r="D37" s="23" t="n">
        <f aca="false">'Gearing ladder'!C21</f>
        <v>0.0813780992388573</v>
      </c>
      <c r="E37" s="23" t="n">
        <f aca="false">D37-C37</f>
        <v>9.92388572984559E-008</v>
      </c>
      <c r="F37" s="11" t="str">
        <f aca="false">IF(ABS(E37)&lt;=0.0000005,"PASS","FAIL")</f>
        <v>PASS</v>
      </c>
    </row>
    <row r="38" customFormat="false" ht="15" hidden="false" customHeight="false" outlineLevel="0" collapsed="false">
      <c r="A38" s="7" t="s">
        <v>264</v>
      </c>
      <c r="B38" s="7" t="s">
        <v>281</v>
      </c>
      <c r="C38" s="23" t="n">
        <v>0.093725</v>
      </c>
      <c r="D38" s="23" t="n">
        <f aca="false">'Gearing ladder'!C23</f>
        <v>0.0937249390732234</v>
      </c>
      <c r="E38" s="23" t="n">
        <f aca="false">D38-C38</f>
        <v>-6.09267766515931E-008</v>
      </c>
      <c r="F38" s="11" t="str">
        <f aca="false">IF(ABS(E38)&lt;=0.0000005,"PASS","FAIL")</f>
        <v>PASS</v>
      </c>
    </row>
    <row r="39" customFormat="false" ht="15" hidden="false" customHeight="false" outlineLevel="0" collapsed="false">
      <c r="A39" s="7" t="s">
        <v>264</v>
      </c>
      <c r="B39" s="7" t="s">
        <v>282</v>
      </c>
      <c r="C39" s="23" t="n">
        <v>0.098268</v>
      </c>
      <c r="D39" s="23" t="n">
        <f aca="false">'Gearing ladder'!C24</f>
        <v>0.0982677455032438</v>
      </c>
      <c r="E39" s="23" t="n">
        <f aca="false">D39-C39</f>
        <v>-2.5449675619682E-007</v>
      </c>
      <c r="F39" s="11" t="str">
        <f aca="false">IF(ABS(E39)&lt;=0.0000005,"PASS","FAIL")</f>
        <v>PASS</v>
      </c>
    </row>
    <row r="40" customFormat="false" ht="15" hidden="false" customHeight="false" outlineLevel="0" collapsed="false">
      <c r="A40" s="7" t="s">
        <v>264</v>
      </c>
      <c r="B40" s="7" t="s">
        <v>283</v>
      </c>
      <c r="C40" s="42" t="n">
        <v>2.4499</v>
      </c>
      <c r="D40" s="42" t="n">
        <f aca="false">'Gearing ladder'!D24</f>
        <v>2.4498841276083</v>
      </c>
      <c r="E40" s="42" t="n">
        <f aca="false">D40-C40</f>
        <v>-1.58723916952042E-005</v>
      </c>
      <c r="F40" s="11" t="str">
        <f aca="false">IF(ABS(E40)&lt;=0.00005,"PASS","FAIL")</f>
        <v>PASS</v>
      </c>
    </row>
    <row r="41" customFormat="false" ht="15" hidden="false" customHeight="false" outlineLevel="0" collapsed="false">
      <c r="A41" s="7" t="s">
        <v>264</v>
      </c>
      <c r="B41" s="7" t="s">
        <v>284</v>
      </c>
      <c r="C41" s="21" t="n">
        <v>415486</v>
      </c>
      <c r="D41" s="21" t="n">
        <f aca="false">'Gearing ladder'!F21</f>
        <v>415485.985244509</v>
      </c>
      <c r="E41" s="21" t="n">
        <f aca="false">D41-C41</f>
        <v>-0.0147554911673069</v>
      </c>
      <c r="F41" s="11" t="str">
        <f aca="false">IF(ABS(E41)&lt;=0.5,"PASS","FAIL")</f>
        <v>PASS</v>
      </c>
    </row>
    <row r="42" customFormat="false" ht="15" hidden="false" customHeight="false" outlineLevel="0" collapsed="false">
      <c r="A42" s="7" t="s">
        <v>264</v>
      </c>
      <c r="B42" s="7" t="s">
        <v>285</v>
      </c>
      <c r="C42" s="21" t="n">
        <v>1748716</v>
      </c>
      <c r="D42" s="21" t="n">
        <f aca="false">'Gearing ladder'!F22</f>
        <v>1748715.96253878</v>
      </c>
      <c r="E42" s="21" t="n">
        <f aca="false">D42-C42</f>
        <v>-0.0374612156301737</v>
      </c>
      <c r="F42" s="11" t="str">
        <f aca="false">IF(ABS(E42)&lt;=0.5,"PASS","FAIL")</f>
        <v>PASS</v>
      </c>
    </row>
    <row r="43" customFormat="false" ht="15" hidden="false" customHeight="false" outlineLevel="0" collapsed="false">
      <c r="A43" s="7" t="s">
        <v>264</v>
      </c>
      <c r="B43" s="7" t="s">
        <v>286</v>
      </c>
      <c r="C43" s="21" t="n">
        <v>2993873</v>
      </c>
      <c r="D43" s="21" t="n">
        <f aca="false">'Gearing ladder'!F23</f>
        <v>2993873.34440008</v>
      </c>
      <c r="E43" s="21" t="n">
        <f aca="false">D43-C43</f>
        <v>0.344400084577501</v>
      </c>
      <c r="F43" s="11" t="str">
        <f aca="false">IF(ABS(E43)&lt;=0.5,"PASS","FAIL")</f>
        <v>PASS</v>
      </c>
    </row>
    <row r="44" customFormat="false" ht="15" hidden="false" customHeight="false" outlineLevel="0" collapsed="false">
      <c r="A44" s="7" t="s">
        <v>264</v>
      </c>
      <c r="B44" s="7" t="s">
        <v>287</v>
      </c>
      <c r="C44" s="21" t="n">
        <v>2876129</v>
      </c>
      <c r="D44" s="21" t="n">
        <f aca="false">'Gearing ladder'!F24</f>
        <v>2876129.34440008</v>
      </c>
      <c r="E44" s="21" t="n">
        <f aca="false">D44-C44</f>
        <v>0.344400084577501</v>
      </c>
      <c r="F44" s="11" t="str">
        <f aca="false">IF(ABS(E44)&lt;=0.5,"PASS","FAIL")</f>
        <v>PASS</v>
      </c>
    </row>
    <row r="45" customFormat="false" ht="15" hidden="false" customHeight="false" outlineLevel="0" collapsed="false">
      <c r="A45" s="7" t="s">
        <v>264</v>
      </c>
      <c r="B45" s="7" t="s">
        <v>288</v>
      </c>
      <c r="C45" s="23" t="n">
        <v>0.2</v>
      </c>
      <c r="D45" s="23" t="n">
        <f aca="false">'Gearing ladder'!G24</f>
        <v>0.2</v>
      </c>
      <c r="E45" s="23" t="n">
        <f aca="false">D45-C45</f>
        <v>0</v>
      </c>
      <c r="F45" s="11" t="str">
        <f aca="false">IF(ABS(E45)&lt;=0.0000005,"PASS","FAIL")</f>
        <v>PASS</v>
      </c>
    </row>
    <row r="46" customFormat="false" ht="15" hidden="false" customHeight="false" outlineLevel="0" collapsed="false">
      <c r="A46" s="7" t="s">
        <v>264</v>
      </c>
      <c r="B46" s="7" t="s">
        <v>289</v>
      </c>
      <c r="C46" s="33" t="n">
        <v>8.24</v>
      </c>
      <c r="D46" s="33" t="n">
        <f aca="false">'Gearing ladder'!I19</f>
        <v>8.24162720971003</v>
      </c>
      <c r="E46" s="33" t="n">
        <f aca="false">D46-C46</f>
        <v>0.00162720971003161</v>
      </c>
      <c r="F46" s="11" t="str">
        <f aca="false">IF(ABS(E46)&lt;=0.005,"PASS","FAIL")</f>
        <v>PASS</v>
      </c>
    </row>
    <row r="47" customFormat="false" ht="15" hidden="false" customHeight="false" outlineLevel="0" collapsed="false">
      <c r="A47" s="7" t="s">
        <v>264</v>
      </c>
      <c r="B47" s="7" t="s">
        <v>290</v>
      </c>
      <c r="C47" s="33" t="n">
        <v>2.35</v>
      </c>
      <c r="D47" s="33" t="n">
        <f aca="false">'Gearing ladder'!I24</f>
        <v>2.35475063134572</v>
      </c>
      <c r="E47" s="33" t="n">
        <f aca="false">D47-C47</f>
        <v>0.00475063134572329</v>
      </c>
      <c r="F47" s="11" t="str">
        <f aca="false">IF(ABS(E47)&lt;=0.005,"PASS","FAIL")</f>
        <v>PASS</v>
      </c>
    </row>
    <row r="48" customFormat="false" ht="15" hidden="false" customHeight="false" outlineLevel="0" collapsed="false">
      <c r="A48" s="7" t="s">
        <v>264</v>
      </c>
      <c r="B48" s="7" t="s">
        <v>291</v>
      </c>
      <c r="C48" s="21" t="n">
        <v>-1281207</v>
      </c>
      <c r="D48" s="21" t="n">
        <f aca="false">'Gearing ladder'!J24</f>
        <v>-1281207.292</v>
      </c>
      <c r="E48" s="21" t="n">
        <f aca="false">D48-C48</f>
        <v>-0.292000000132248</v>
      </c>
      <c r="F48" s="11" t="str">
        <f aca="false">IF(ABS(E48)&lt;=0.5,"PASS","FAIL")</f>
        <v>PASS</v>
      </c>
    </row>
    <row r="49" customFormat="false" ht="15" hidden="false" customHeight="false" outlineLevel="0" collapsed="false">
      <c r="A49" s="7" t="s">
        <v>292</v>
      </c>
      <c r="B49" s="7" t="s">
        <v>293</v>
      </c>
      <c r="C49" s="23" t="n">
        <v>0.266739</v>
      </c>
      <c r="D49" s="23" t="n">
        <f aca="false">'Gearing ladder'!H23</f>
        <v>0.26673948805948</v>
      </c>
      <c r="E49" s="23" t="n">
        <f aca="false">D49-C49</f>
        <v>4.8805948027475E-007</v>
      </c>
      <c r="F49" s="11" t="str">
        <f aca="false">IF(ABS(E49)&lt;=0.0000005,"PASS","FAIL")</f>
        <v>PASS</v>
      </c>
    </row>
    <row r="50" customFormat="false" ht="15" hidden="false" customHeight="false" outlineLevel="0" collapsed="false">
      <c r="A50" s="7" t="s">
        <v>258</v>
      </c>
      <c r="B50" s="7" t="s">
        <v>294</v>
      </c>
      <c r="C50" s="21" t="n">
        <v>3451151</v>
      </c>
      <c r="D50" s="21" t="n">
        <f aca="false">'Gearing ladder'!K22</f>
        <v>3451150.80280009</v>
      </c>
      <c r="E50" s="21" t="n">
        <f aca="false">D50-C50</f>
        <v>-0.197199915070087</v>
      </c>
      <c r="F50" s="11" t="str">
        <f aca="false">IF(ABS(E50)&lt;=0.5,"PASS","FAIL")</f>
        <v>PASS</v>
      </c>
    </row>
    <row r="51" customFormat="false" ht="15" hidden="false" customHeight="false" outlineLevel="0" collapsed="false">
      <c r="A51" s="7" t="s">
        <v>258</v>
      </c>
      <c r="B51" s="7" t="s">
        <v>295</v>
      </c>
      <c r="C51" s="21" t="n">
        <v>839915</v>
      </c>
      <c r="D51" s="21" t="n">
        <f aca="false">'Gearing ladder'!K20</f>
        <v>839915.393119827</v>
      </c>
      <c r="E51" s="21" t="n">
        <f aca="false">D51-C51</f>
        <v>0.39311982691288</v>
      </c>
      <c r="F51" s="11" t="str">
        <f aca="false">IF(ABS(E51)&lt;=0.5,"PASS","FAIL")</f>
        <v>PASS</v>
      </c>
    </row>
    <row r="52" customFormat="false" ht="15" hidden="false" customHeight="false" outlineLevel="0" collapsed="false">
      <c r="A52" s="7" t="s">
        <v>258</v>
      </c>
      <c r="B52" s="7" t="s">
        <v>226</v>
      </c>
      <c r="C52" s="21" t="n">
        <v>349743</v>
      </c>
      <c r="D52" s="21" t="n">
        <f aca="false">'Gearing ladder'!B27</f>
        <v>349743.192507757</v>
      </c>
      <c r="E52" s="21" t="n">
        <f aca="false">D52-C52</f>
        <v>0.192507756873965</v>
      </c>
      <c r="F52" s="11" t="str">
        <f aca="false">IF(ABS(E52)&lt;=0.5,"PASS","FAIL")</f>
        <v>PASS</v>
      </c>
    </row>
    <row r="53" customFormat="false" ht="15" hidden="false" customHeight="false" outlineLevel="0" collapsed="false">
      <c r="A53" s="7" t="s">
        <v>258</v>
      </c>
      <c r="B53" s="7" t="s">
        <v>227</v>
      </c>
      <c r="C53" s="21" t="n">
        <v>1398973</v>
      </c>
      <c r="D53" s="21" t="n">
        <f aca="false">'Gearing ladder'!B28</f>
        <v>1398972.77003103</v>
      </c>
      <c r="E53" s="21" t="n">
        <f aca="false">D53-C53</f>
        <v>-0.229968972504139</v>
      </c>
      <c r="F53" s="11" t="str">
        <f aca="false">IF(ABS(E53)&lt;=0.5,"PASS","FAIL")</f>
        <v>PASS</v>
      </c>
    </row>
    <row r="54" customFormat="false" ht="15" hidden="false" customHeight="false" outlineLevel="0" collapsed="false">
      <c r="A54" s="7" t="s">
        <v>262</v>
      </c>
      <c r="B54" s="7" t="s">
        <v>228</v>
      </c>
      <c r="C54" s="21" t="n">
        <v>2464383</v>
      </c>
      <c r="D54" s="21" t="n">
        <f aca="false">'Gearing ladder'!B29</f>
        <v>2464383.19250776</v>
      </c>
      <c r="E54" s="21" t="n">
        <f aca="false">D54-C54</f>
        <v>0.192507756873965</v>
      </c>
      <c r="F54" s="11" t="str">
        <f aca="false">IF(ABS(E54)&lt;=0.5,"PASS","FAIL")</f>
        <v>PASS</v>
      </c>
    </row>
    <row r="55" customFormat="false" ht="15" hidden="false" customHeight="false" outlineLevel="0" collapsed="false">
      <c r="A55" s="7" t="s">
        <v>262</v>
      </c>
      <c r="B55" s="7" t="s">
        <v>229</v>
      </c>
      <c r="C55" s="23" t="n">
        <v>0.13495</v>
      </c>
      <c r="D55" s="23" t="n">
        <f aca="false">'Gearing ladder'!B30</f>
        <v>0.134950052425956</v>
      </c>
      <c r="E55" s="23" t="n">
        <f aca="false">D55-C55</f>
        <v>5.24259558820628E-008</v>
      </c>
      <c r="F55" s="11" t="str">
        <f aca="false">IF(ABS(E55)&lt;=0.0000005,"PASS","FAIL")</f>
        <v>PASS</v>
      </c>
    </row>
    <row r="56" customFormat="false" ht="15" hidden="false" customHeight="false" outlineLevel="0" collapsed="false">
      <c r="A56" s="7" t="s">
        <v>264</v>
      </c>
      <c r="B56" s="7" t="s">
        <v>230</v>
      </c>
      <c r="C56" s="21" t="n">
        <v>1245157</v>
      </c>
      <c r="D56" s="21" t="n">
        <f aca="false">'Gearing ladder'!B31</f>
        <v>1245157.3818613</v>
      </c>
      <c r="E56" s="21" t="n">
        <f aca="false">D56-C56</f>
        <v>0.381861300207675</v>
      </c>
      <c r="F56" s="11" t="str">
        <f aca="false">IF(ABS(E56)&lt;=0.5,"PASS","FAIL")</f>
        <v>PASS</v>
      </c>
    </row>
    <row r="57" customFormat="false" ht="15" hidden="false" customHeight="false" outlineLevel="0" collapsed="false">
      <c r="A57" s="7" t="s">
        <v>264</v>
      </c>
      <c r="B57" s="7" t="s">
        <v>296</v>
      </c>
      <c r="C57" s="21" t="n">
        <v>8242080</v>
      </c>
      <c r="D57" s="21" t="n">
        <f aca="false">'Gearing ladder'!B33</f>
        <v>8242080</v>
      </c>
      <c r="E57" s="21" t="n">
        <f aca="false">D57-C57</f>
        <v>0</v>
      </c>
      <c r="F57" s="11" t="str">
        <f aca="false">IF(ABS(E57)&lt;=1,"PASS","FAIL")</f>
        <v>PASS</v>
      </c>
    </row>
    <row r="59" customFormat="false" ht="15" hidden="false" customHeight="false" outlineLevel="0" collapsed="false">
      <c r="B59" s="11" t="s">
        <v>297</v>
      </c>
      <c r="C59" s="11" t="n">
        <f aca="false">COUNTIF(F8:F57,"PASS")</f>
        <v>50</v>
      </c>
    </row>
    <row r="60" customFormat="false" ht="15" hidden="false" customHeight="false" outlineLevel="0" collapsed="false">
      <c r="B60" s="11" t="s">
        <v>298</v>
      </c>
      <c r="C60" s="11" t="n">
        <f aca="false">COUNTIF(F8:F57,"FAIL")</f>
        <v>0</v>
      </c>
    </row>
    <row r="61" customFormat="false" ht="15" hidden="false" customHeight="false" outlineLevel="0" collapsed="false">
      <c r="B61" s="11" t="s">
        <v>299</v>
      </c>
      <c r="C61" s="11" t="str">
        <f aca="false">IF(C60=0,"ALL OK",C60&amp;"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2026-08-29T20:28:24Z</dcterms:created>
  <dc:creator>openpyxl</dc:creator>
  <dc:description/>
  <dc:language>en-US</dc:language>
  <cp:lastModifiedBy/>
  <dcterms:modified xsi:type="dcterms:W3CDTF">2026-09-23T23:30:41Z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