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0. Read Me" sheetId="1" state="visible" r:id="rId3"/>
    <sheet name="1. Sleeve drag" sheetId="2" state="visible" r:id="rId4"/>
    <sheet name="2. Share classes" sheetId="3" state="visible" r:id="rId5"/>
    <sheet name="3. Drawdown fund" sheetId="4" state="visible" r:id="rId6"/>
    <sheet name="4. Committed capital" sheetId="5" state="visible" r:id="rId7"/>
    <sheet name="5. Sensitivity" sheetId="6" state="visible" r:id="rId8"/>
    <sheet name="6. PME" sheetId="7" state="visible" r:id="rId9"/>
    <sheet name="7. Volatility" sheetId="8" state="visible" r:id="rId10"/>
    <sheet name="8. Checks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<sst xmlns="http://schemas.openxmlformats.org/spreadsheetml/2006/main" count="198" uniqueCount="180">
  <si>
    <t xml:space="preserve">Comparing an Evergreen Return to a Drawdown IRR</t>
  </si>
  <si>
    <t xml:space="preserve">Companion workbook to The Evergreen Fund Handbook, Appendix K — Julian R. Sterling</t>
  </si>
  <si>
    <t xml:space="preserve">What this workbook does</t>
  </si>
  <si>
    <t xml:space="preserve">Appendix K makes five claims about how evergreen and closed-ended funds compare, and computes each one. This workbook reproduces every figure in that appendix and lets you change the assumptions to see what survives.</t>
  </si>
  <si>
    <t xml:space="preserve">Amber cells are inputs. Change them. Grey cells are computed and will move.</t>
  </si>
  <si>
    <t xml:space="preserve">The sheets</t>
  </si>
  <si>
    <t xml:space="preserve">1. Sleeve drag — what the liquidity option costs, and how it decomposes.</t>
  </si>
  <si>
    <t xml:space="preserve">2. Share classes — the same portfolio, two fee loads, and the gap between them.</t>
  </si>
  <si>
    <t xml:space="preserve">3. Drawdown fund — the call and distribution schedule, the headline IRR, and the multiple.</t>
  </si>
  <si>
    <t xml:space="preserve">4. Committed capital — the year-by-year run that turns the headline into an honest number.</t>
  </si>
  <si>
    <t xml:space="preserve">5. Sensitivity — where the comparison reverses, and the point of indifference.</t>
  </si>
  <si>
    <t xml:space="preserve">6. PME — public market equivalent on called and on committed capital.</t>
  </si>
  <si>
    <t xml:space="preserve">7. Volatility — what unsmoothing does to a standard deviation built on appraisals.</t>
  </si>
  <si>
    <t xml:space="preserve">8. Checks — every figure in Appendix K, tested against the sheets above.</t>
  </si>
  <si>
    <t xml:space="preserve">The one thing to take away</t>
  </si>
  <si>
    <t xml:space="preserve">A closed-ended fund advertising a 13.25% internal rate of return does not beat an evergreen fund netting 8.64%. It ties with it. That is sheet 5, and it is the whole argument in one number.</t>
  </si>
  <si>
    <t xml:space="preserve">Every figure below is computed by formula from the amber inputs. Nothing is typed in as a result.</t>
  </si>
  <si>
    <t xml:space="preserve">Revised 22 September 2026. Sheet 7 now unsmooths with SQRT((1 + rho) / (1 - rho)), which counts the correlation of each reported</t>
  </si>
  <si>
    <t xml:space="preserve">return with its own lag; the first edition used SQRT(1 + rho^2) / (1 - rho) and doubled the volatility (12.96 per cent) where the</t>
  </si>
  <si>
    <t xml:space="preserve">correct figure is 10.55. Sheet 5 now solves the point of indifference by formula and follows the schedule on sheet 3.</t>
  </si>
  <si>
    <t xml:space="preserve">The cost of the redemption option</t>
  </si>
  <si>
    <t xml:space="preserve">Private portfolio gross return</t>
  </si>
  <si>
    <t xml:space="preserve">What the private assets earned before any fee.</t>
  </si>
  <si>
    <t xml:space="preserve">Liquidity sleeve return</t>
  </si>
  <si>
    <t xml:space="preserve">Short-dated government and investment-grade paper.</t>
  </si>
  <si>
    <t xml:space="preserve">Sleeve weight (share of NAV)</t>
  </si>
  <si>
    <t xml:space="preserve">The rest of the fund is the private portfolio.</t>
  </si>
  <si>
    <t xml:space="preserve">Private portfolio weight</t>
  </si>
  <si>
    <t xml:space="preserve">Computed, not an input.</t>
  </si>
  <si>
    <t xml:space="preserve">Blended gross return</t>
  </si>
  <si>
    <t xml:space="preserve">0.80 x 12.40% + 0.20 x 4.20%.</t>
  </si>
  <si>
    <t xml:space="preserve">Sleeve drag</t>
  </si>
  <si>
    <t xml:space="preserve">What the fund gave up by holding the sleeve.</t>
  </si>
  <si>
    <t xml:space="preserve">Drag, read off the weights</t>
  </si>
  <si>
    <t xml:space="preserve">Same number by the other route. Must equal B9.</t>
  </si>
  <si>
    <t xml:space="preserve">Drag in basis points</t>
  </si>
  <si>
    <t xml:space="preserve">Management fee, institutional</t>
  </si>
  <si>
    <t xml:space="preserve">Drag as a multiple of that fee</t>
  </si>
  <si>
    <t xml:space="preserve">The liquidity option costs more than the manager does.</t>
  </si>
  <si>
    <t xml:space="preserve">The drag is not a fee. Nobody collects it. It is the return given up in exchange for the right to ask for money back.</t>
  </si>
  <si>
    <t xml:space="preserve">The same portfolio, two fee loads</t>
  </si>
  <si>
    <t xml:space="preserve">Carried from sheet 1.</t>
  </si>
  <si>
    <t xml:space="preserve">Performance fee hurdle</t>
  </si>
  <si>
    <t xml:space="preserve">Performance fee rate</t>
  </si>
  <si>
    <t xml:space="preserve">Charged on the return above the hurdle, after base fees.</t>
  </si>
  <si>
    <t xml:space="preserve">Institutional class</t>
  </si>
  <si>
    <t xml:space="preserve">Management fee</t>
  </si>
  <si>
    <t xml:space="preserve">Operating costs</t>
  </si>
  <si>
    <t xml:space="preserve">Administration, depositary, audit.</t>
  </si>
  <si>
    <t xml:space="preserve">Base load</t>
  </si>
  <si>
    <t xml:space="preserve">Return after base fees</t>
  </si>
  <si>
    <t xml:space="preserve">Excess over hurdle</t>
  </si>
  <si>
    <t xml:space="preserve">Performance fee</t>
  </si>
  <si>
    <t xml:space="preserve">NET to the investor</t>
  </si>
  <si>
    <t xml:space="preserve">Retail class</t>
  </si>
  <si>
    <t xml:space="preserve">Distribution fee</t>
  </si>
  <si>
    <t xml:space="preserve">Paid to the platform or the adviser.</t>
  </si>
  <si>
    <t xml:space="preserve">The gap</t>
  </si>
  <si>
    <t xml:space="preserve">Difference in base load</t>
  </si>
  <si>
    <t xml:space="preserve">Difference in performance fee</t>
  </si>
  <si>
    <t xml:space="preserve">The retail class pays LESS, because it earned less.</t>
  </si>
  <si>
    <t xml:space="preserve">Net class gap</t>
  </si>
  <si>
    <t xml:space="preserve">Class gap in basis points</t>
  </si>
  <si>
    <t xml:space="preserve">Horizon (years)</t>
  </si>
  <si>
    <t xml:space="preserve">Institutional: 100 becomes</t>
  </si>
  <si>
    <t xml:space="preserve">Retail: 100 becomes</t>
  </si>
  <si>
    <t xml:space="preserve">Difference in terminal wealth</t>
  </si>
  <si>
    <t xml:space="preserve">On a starting stake of 100.</t>
  </si>
  <si>
    <t xml:space="preserve">The closed-ended fund it is being compared to</t>
  </si>
  <si>
    <t xml:space="preserve">Commitment</t>
  </si>
  <si>
    <t xml:space="preserve">Year</t>
  </si>
  <si>
    <t xml:space="preserve">Call</t>
  </si>
  <si>
    <t xml:space="preserve">Distribution</t>
  </si>
  <si>
    <t xml:space="preserve">Net flow</t>
  </si>
  <si>
    <t xml:space="preserve">Total</t>
  </si>
  <si>
    <t xml:space="preserve">Multiple of invested capital (TVPI)</t>
  </si>
  <si>
    <t xml:space="preserve">230 distributed on 100 called.</t>
  </si>
  <si>
    <t xml:space="preserve">Internal rate of return on called capital</t>
  </si>
  <si>
    <t xml:space="preserve">The headline. The number in the tear sheet.</t>
  </si>
  <si>
    <t xml:space="preserve">Uncalled capital cash rate</t>
  </si>
  <si>
    <t xml:space="preserve">Same asset the evergreen sleeve holds, so the comparison is not rigged.</t>
  </si>
  <si>
    <t xml:space="preserve">What happens to the whole commitment, year by year</t>
  </si>
  <si>
    <t xml:space="preserve">The investor commits 100 and must hold it against the call schedule. Uncalled capital earns the cash rate; distributions, once received, sit in cash too.</t>
  </si>
  <si>
    <t xml:space="preserve">Cash rate</t>
  </si>
  <si>
    <t xml:space="preserve">Uncalled pot</t>
  </si>
  <si>
    <t xml:space="preserve">Cash from distributions</t>
  </si>
  <si>
    <t xml:space="preserve">Total wealth</t>
  </si>
  <si>
    <t xml:space="preserve">Terminal wealth on a commitment of 100</t>
  </si>
  <si>
    <t xml:space="preserve">Annual rate on COMMITTED capital</t>
  </si>
  <si>
    <t xml:space="preserve">Evergreen, institutional, net</t>
  </si>
  <si>
    <t xml:space="preserve">Evergreen: 100 becomes</t>
  </si>
  <si>
    <t xml:space="preserve">HEADLINE gap (called-capital IRR less evergreen)</t>
  </si>
  <si>
    <t xml:space="preserve">What the tear sheets imply.</t>
  </si>
  <si>
    <t xml:space="preserve">HONEST gap (committed-capital rate less evergreen)</t>
  </si>
  <si>
    <t xml:space="preserve">What the investor actually experienced.</t>
  </si>
  <si>
    <t xml:space="preserve">Share of the apparent advantage that was never there</t>
  </si>
  <si>
    <t xml:space="preserve">Where the comparison reverses</t>
  </si>
  <si>
    <t xml:space="preserve">The call schedule and the shape of the distributions are held fixed. Only the multiple moves.</t>
  </si>
  <si>
    <t xml:space="preserve">Evergreen terminal wealth</t>
  </si>
  <si>
    <t xml:space="preserve">Evergreen net return</t>
  </si>
  <si>
    <t xml:space="preserve">TVPI</t>
  </si>
  <si>
    <t xml:space="preserve">Headline IRR</t>
  </si>
  <si>
    <t xml:space="preserve">Committed rate</t>
  </si>
  <si>
    <t xml:space="preserve">Terminal wealth</t>
  </si>
  <si>
    <t xml:space="preserve">Beats evergreen?</t>
  </si>
  <si>
    <t xml:space="preserve">Point of indifference</t>
  </si>
  <si>
    <t xml:space="preserve">TVPI at which the drawdown fund merely ties</t>
  </si>
  <si>
    <t xml:space="preserve">Row 10 is solved in closed form: terminal wealth is linear in the multiple.</t>
  </si>
  <si>
    <t xml:space="preserve">Headline IRR the tying fund would advertise</t>
  </si>
  <si>
    <t xml:space="preserve">Evergreen net return it ties with</t>
  </si>
  <si>
    <t xml:space="preserve">A closed-ended fund advertising the rate in D19 does not beat an evergreen fund netting the rate in D20. It ties with it.</t>
  </si>
  <si>
    <t xml:space="preserve">Public market equivalent, on called and on committed capital</t>
  </si>
  <si>
    <t xml:space="preserve">Public index return</t>
  </si>
  <si>
    <t xml:space="preserve">Call, compounded</t>
  </si>
  <si>
    <t xml:space="preserve">Distribution, compounded</t>
  </si>
  <si>
    <t xml:space="preserve">Kaplan-Schoar PME on CALLED capital</t>
  </si>
  <si>
    <t xml:space="preserve">The conventional measure.</t>
  </si>
  <si>
    <t xml:space="preserve">100 in the index becomes</t>
  </si>
  <si>
    <t xml:space="preserve">Drawdown terminal wealth on committed capital</t>
  </si>
  <si>
    <t xml:space="preserve">PME on COMMITTED capital</t>
  </si>
  <si>
    <t xml:space="preserve">Overstatement of the conventional measure</t>
  </si>
  <si>
    <t xml:space="preserve">In turns.</t>
  </si>
  <si>
    <t xml:space="preserve">Evergreen PME</t>
  </si>
  <si>
    <t xml:space="preserve">A single flow, so the PME is just the wealth ratio.</t>
  </si>
  <si>
    <t xml:space="preserve">What unsmoothing does to a standard deviation built on appraisals</t>
  </si>
  <si>
    <t xml:space="preserve">Reported standard deviation</t>
  </si>
  <si>
    <t xml:space="preserve">Computed from quarterly appraised net asset values.</t>
  </si>
  <si>
    <t xml:space="preserve">First-order autocorrelation</t>
  </si>
  <si>
    <t xml:space="preserve">Typical of appraisal-based valuation. Traded prices do not do this.</t>
  </si>
  <si>
    <t xml:space="preserve">Numerator: SQRT(1 + rho)</t>
  </si>
  <si>
    <t xml:space="preserve">Denominator: SQRT(1 - rho)</t>
  </si>
  <si>
    <t xml:space="preserve">Unsmoothing factor</t>
  </si>
  <si>
    <t xml:space="preserve">SQRT((1 + rho) / (1 - rho)): the variance of (r - rho r-1) / (1 - rho) when the lagged return is correlated at rho.</t>
  </si>
  <si>
    <t xml:space="preserve">As first published: the covariance with the lag left out.</t>
  </si>
  <si>
    <t xml:space="preserve">Unsmoothed standard deviation</t>
  </si>
  <si>
    <t xml:space="preserve">Understatement</t>
  </si>
  <si>
    <t xml:space="preserve">In percentage points of volatility.</t>
  </si>
  <si>
    <t xml:space="preserve">Risk-free rate for a Sharpe ratio</t>
  </si>
  <si>
    <t xml:space="preserve">Sharpe ratio on the REPORTED volatility</t>
  </si>
  <si>
    <t xml:space="preserve">Sharpe ratio on the UNSMOOTHED volatility</t>
  </si>
  <si>
    <t xml:space="preserve">Ratio of the two</t>
  </si>
  <si>
    <t xml:space="preserve">Equals the unsmoothing factor. It must.</t>
  </si>
  <si>
    <t xml:space="preserve">Appraisal optimism versus eventual realisations</t>
  </si>
  <si>
    <t xml:space="preserve">Realisation-adjusted terminal wealth</t>
  </si>
  <si>
    <t xml:space="preserve">Realisation-adjusted annual return</t>
  </si>
  <si>
    <t xml:space="preserve">Cost of the valuation optimism, in bp/yr</t>
  </si>
  <si>
    <t xml:space="preserve">Sleeve drag, in bp/yr</t>
  </si>
  <si>
    <t xml:space="preserve">For comparison.</t>
  </si>
  <si>
    <t xml:space="preserve">Optimism as a share of the sleeve drag</t>
  </si>
  <si>
    <t xml:space="preserve">#</t>
  </si>
  <si>
    <t xml:space="preserve">What is tested</t>
  </si>
  <si>
    <t xml:space="preserve">Value</t>
  </si>
  <si>
    <t xml:space="preserve">Verdict</t>
  </si>
  <si>
    <t xml:space="preserve">Sleeve drag equals the sleeve weight times the return give-up (two routes, one number)</t>
  </si>
  <si>
    <t xml:space="preserve">Sleeve drag is 164 basis points</t>
  </si>
  <si>
    <t xml:space="preserve">Blended gross return is 10.76%</t>
  </si>
  <si>
    <t xml:space="preserve">Institutional class nets 8.64%</t>
  </si>
  <si>
    <t xml:space="preserve">Retail class nets 7.55%</t>
  </si>
  <si>
    <t xml:space="preserve">Class gap exceeds 100 basis points, as Chapter 20 claims</t>
  </si>
  <si>
    <t xml:space="preserve">The retail class pays a SMALLER performance fee, because it earned less</t>
  </si>
  <si>
    <t xml:space="preserve">Drawdown fund multiple is 2.30x</t>
  </si>
  <si>
    <t xml:space="preserve">Headline IRR on called capital is 16.99%</t>
  </si>
  <si>
    <t xml:space="preserve">Calls sum to the commitment</t>
  </si>
  <si>
    <t xml:space="preserve">Committed-capital terminal wealth is 269.45</t>
  </si>
  <si>
    <t xml:space="preserve">Rate on committed capital is 10.42%</t>
  </si>
  <si>
    <t xml:space="preserve">The honest gap is far smaller than the headline gap</t>
  </si>
  <si>
    <t xml:space="preserve">Four fifths of the apparent advantage was never there</t>
  </si>
  <si>
    <t xml:space="preserve">At 2.5x the drawdown fund still beats the evergreen</t>
  </si>
  <si>
    <t xml:space="preserve">At 1.8x it does NOT — the reversal Chapter 20 claims is real</t>
  </si>
  <si>
    <t xml:space="preserve">Point of indifference: terminal wealth ties the evergreen</t>
  </si>
  <si>
    <t xml:space="preserve">The tying fund advertises 13.25%</t>
  </si>
  <si>
    <t xml:space="preserve">Conventional PME on called capital is 1.45x</t>
  </si>
  <si>
    <t xml:space="preserve">PME on committed capital is 1.14x</t>
  </si>
  <si>
    <t xml:space="preserve">The conventional PME overstates by 0.31 turns</t>
  </si>
  <si>
    <t xml:space="preserve">The evergreen fund did not beat public markets</t>
  </si>
  <si>
    <t xml:space="preserve">Unsmoothing factor is 1.6237</t>
  </si>
  <si>
    <t xml:space="preserve">Unsmoothed volatility is 10.55%, 1.6 times the reported figure</t>
  </si>
  <si>
    <t xml:space="preserve">The Sharpe ratio falls by exactly the unsmoothing factor</t>
  </si>
  <si>
    <t xml:space="preserve">Six per cent of valuation optimism costs 67 basis points a year</t>
  </si>
  <si>
    <t xml:space="preserve">Valuation optimism costs about 41% of what the sleeve costs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</si>
</sst>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0%"/>
    <numFmt numFmtId="166" formatCode="#,##0.0"/>
    <numFmt numFmtId="167" formatCode="0.00\x"/>
    <numFmt numFmtId="168" formatCode="#,##0.00"/>
    <numFmt numFmtId="169" formatCode="0.0%"/>
    <numFmt numFmtId="170" formatCode="0.0000"/>
    <numFmt numFmtId="171" formatCode="0.00"/>
    <numFmt numFmtId="172" formatCode="0.0000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72A42"/>
      <name val="Cambria"/>
      <family val="0"/>
      <charset val="1"/>
    </font>
    <font>
      <i val="true"/>
      <sz val="11"/>
      <color rgb="FF172A42"/>
      <name val="Cambria"/>
      <family val="0"/>
      <charset val="1"/>
    </font>
    <font>
      <b val="true"/>
      <sz val="12"/>
      <color rgb="FF172A42"/>
      <name val="Cambria"/>
      <family val="0"/>
      <charset val="1"/>
    </font>
    <font>
      <b val="true"/>
      <sz val="11"/>
      <name val="Cambria"/>
      <family val="0"/>
      <charset val="1"/>
    </font>
    <font>
      <i val="true"/>
      <sz val="11"/>
      <name val="Cambria"/>
      <family val="0"/>
      <charset val="1"/>
    </font>
    <font>
      <i val="true"/>
      <sz val="11"/>
      <color rgb="FF555555"/>
      <name val="Cambria"/>
      <family val="0"/>
      <charset val="1"/>
    </font>
    <font>
      <b val="true"/>
      <sz val="11"/>
      <color rgb="FF172A42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3D6"/>
        <bgColor rgb="FFEDEDED"/>
      </patternFill>
    </fill>
    <fill>
      <patternFill patternType="solid">
        <fgColor rgb="FFEFF3F8"/>
        <bgColor rgb="FFEDEDED"/>
      </patternFill>
    </fill>
    <fill>
      <patternFill patternType="solid">
        <fgColor rgb="FF172A42"/>
        <bgColor rgb="FF003366"/>
      </patternFill>
    </fill>
    <fill>
      <patternFill patternType="solid">
        <fgColor rgb="FFEDEDED"/>
        <bgColor rgb="FFEFF3F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7D2"/>
      </left>
      <right style="thin">
        <color rgb="FFBFC7D2"/>
      </right>
      <top style="thin">
        <color rgb="FFBFC7D2"/>
      </top>
      <bottom style="thin">
        <color rgb="FFBFC7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70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7D2"/>
      <rgbColor rgb="FF808080"/>
      <rgbColor rgb="FF9999FF"/>
      <rgbColor rgb="FF993366"/>
      <rgbColor rgb="FFFFF3D6"/>
      <rgbColor rgb="FFEFF3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72A4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8"/>
  </cols>
  <sheetData>
    <row r="1" customFormat="false" ht="15" hidden="false" customHeight="true" outlineLevel="0" collapsed="false">
      <c r="A1" s="1" t="s">
        <v>0</v>
      </c>
    </row>
    <row r="2" customFormat="false" ht="15" hidden="false" customHeight="true" outlineLevel="0" collapsed="false">
      <c r="A2" s="2" t="s">
        <v>1</v>
      </c>
    </row>
    <row r="3" customFormat="false" ht="15" hidden="false" customHeight="true" outlineLevel="0" collapsed="false">
      <c r="A3" s="3"/>
    </row>
    <row r="4" customFormat="false" ht="15" hidden="false" customHeight="true" outlineLevel="0" collapsed="false">
      <c r="A4" s="4" t="s">
        <v>2</v>
      </c>
    </row>
    <row r="5" customFormat="false" ht="45" hidden="false" customHeight="true" outlineLevel="0" collapsed="false">
      <c r="A5" s="3" t="s">
        <v>3</v>
      </c>
    </row>
    <row r="6" customFormat="false" ht="15" hidden="false" customHeight="true" outlineLevel="0" collapsed="false">
      <c r="A6" s="3"/>
    </row>
    <row r="7" customFormat="false" ht="15" hidden="false" customHeight="true" outlineLevel="0" collapsed="false">
      <c r="A7" s="5" t="s">
        <v>4</v>
      </c>
    </row>
    <row r="8" customFormat="false" ht="15" hidden="false" customHeight="true" outlineLevel="0" collapsed="false">
      <c r="A8" s="3"/>
    </row>
    <row r="9" customFormat="false" ht="15" hidden="false" customHeight="true" outlineLevel="0" collapsed="false">
      <c r="A9" s="4" t="s">
        <v>5</v>
      </c>
    </row>
    <row r="10" customFormat="false" ht="15" hidden="false" customHeight="true" outlineLevel="0" collapsed="false">
      <c r="A10" s="3" t="s">
        <v>6</v>
      </c>
    </row>
    <row r="11" customFormat="false" ht="15" hidden="false" customHeight="true" outlineLevel="0" collapsed="false">
      <c r="A11" s="3" t="s">
        <v>7</v>
      </c>
    </row>
    <row r="12" customFormat="false" ht="15" hidden="false" customHeight="true" outlineLevel="0" collapsed="false">
      <c r="A12" s="3" t="s">
        <v>8</v>
      </c>
    </row>
    <row r="13" customFormat="false" ht="15" hidden="false" customHeight="true" outlineLevel="0" collapsed="false">
      <c r="A13" s="3" t="s">
        <v>9</v>
      </c>
    </row>
    <row r="14" customFormat="false" ht="15" hidden="false" customHeight="true" outlineLevel="0" collapsed="false">
      <c r="A14" s="3" t="s">
        <v>10</v>
      </c>
    </row>
    <row r="15" customFormat="false" ht="15" hidden="false" customHeight="true" outlineLevel="0" collapsed="false">
      <c r="A15" s="3" t="s">
        <v>11</v>
      </c>
    </row>
    <row r="16" customFormat="false" ht="15" hidden="false" customHeight="true" outlineLevel="0" collapsed="false">
      <c r="A16" s="3" t="s">
        <v>12</v>
      </c>
    </row>
    <row r="17" customFormat="false" ht="15" hidden="false" customHeight="true" outlineLevel="0" collapsed="false">
      <c r="A17" s="3" t="s">
        <v>13</v>
      </c>
    </row>
    <row r="18" customFormat="false" ht="15" hidden="false" customHeight="true" outlineLevel="0" collapsed="false">
      <c r="A18" s="3"/>
    </row>
    <row r="19" customFormat="false" ht="15" hidden="false" customHeight="true" outlineLevel="0" collapsed="false">
      <c r="A19" s="4" t="s">
        <v>14</v>
      </c>
    </row>
    <row r="20" customFormat="false" ht="30" hidden="false" customHeight="true" outlineLevel="0" collapsed="false">
      <c r="A20" s="3" t="s">
        <v>15</v>
      </c>
    </row>
    <row r="21" customFormat="false" ht="15" hidden="false" customHeight="true" outlineLevel="0" collapsed="false">
      <c r="A21" s="3"/>
    </row>
    <row r="22" customFormat="false" ht="30" hidden="false" customHeight="true" outlineLevel="0" collapsed="false">
      <c r="A22" s="6" t="s">
        <v>16</v>
      </c>
    </row>
    <row r="24" customFormat="false" ht="15" hidden="false" customHeight="false" outlineLevel="0" collapsed="false">
      <c r="A24" s="7" t="s">
        <v>17</v>
      </c>
    </row>
    <row r="25" customFormat="false" ht="15" hidden="false" customHeight="false" outlineLevel="0" collapsed="false">
      <c r="A25" s="7" t="s">
        <v>18</v>
      </c>
    </row>
    <row r="26" customFormat="false" ht="15" hidden="false" customHeight="false" outlineLevel="0" collapsed="false">
      <c r="A26" s="7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16"/>
    <col collapsed="false" customWidth="true" hidden="false" outlineLevel="0" max="3" min="3" style="0" width="60"/>
  </cols>
  <sheetData>
    <row r="1" customFormat="false" ht="15" hidden="false" customHeight="false" outlineLevel="0" collapsed="false">
      <c r="A1" s="8" t="s">
        <v>20</v>
      </c>
    </row>
    <row r="3" customFormat="false" ht="15" hidden="false" customHeight="false" outlineLevel="0" collapsed="false">
      <c r="A3" s="9" t="s">
        <v>21</v>
      </c>
      <c r="B3" s="10" t="n">
        <v>0.124</v>
      </c>
      <c r="C3" s="11" t="s">
        <v>22</v>
      </c>
    </row>
    <row r="4" customFormat="false" ht="15" hidden="false" customHeight="false" outlineLevel="0" collapsed="false">
      <c r="A4" s="9" t="s">
        <v>23</v>
      </c>
      <c r="B4" s="10" t="n">
        <v>0.042</v>
      </c>
      <c r="C4" s="11" t="s">
        <v>24</v>
      </c>
    </row>
    <row r="5" customFormat="false" ht="15" hidden="false" customHeight="false" outlineLevel="0" collapsed="false">
      <c r="A5" s="9" t="s">
        <v>25</v>
      </c>
      <c r="B5" s="10" t="n">
        <v>0.2</v>
      </c>
      <c r="C5" s="11" t="s">
        <v>26</v>
      </c>
    </row>
    <row r="6" customFormat="false" ht="15" hidden="false" customHeight="false" outlineLevel="0" collapsed="false">
      <c r="A6" s="9" t="s">
        <v>27</v>
      </c>
      <c r="B6" s="12" t="n">
        <f aca="false">1-B5</f>
        <v>0.8</v>
      </c>
      <c r="C6" s="11" t="s">
        <v>28</v>
      </c>
    </row>
    <row r="8" customFormat="false" ht="15" hidden="false" customHeight="false" outlineLevel="0" collapsed="false">
      <c r="A8" s="13" t="s">
        <v>29</v>
      </c>
      <c r="B8" s="14" t="n">
        <f aca="false">B6*B3+B5*B4</f>
        <v>0.1076</v>
      </c>
      <c r="C8" s="11" t="s">
        <v>30</v>
      </c>
    </row>
    <row r="9" customFormat="false" ht="15" hidden="false" customHeight="false" outlineLevel="0" collapsed="false">
      <c r="A9" s="13" t="s">
        <v>31</v>
      </c>
      <c r="B9" s="14" t="n">
        <f aca="false">B3-B8</f>
        <v>0.0164</v>
      </c>
      <c r="C9" s="11" t="s">
        <v>32</v>
      </c>
    </row>
    <row r="10" customFormat="false" ht="15" hidden="false" customHeight="false" outlineLevel="0" collapsed="false">
      <c r="A10" s="9" t="s">
        <v>33</v>
      </c>
      <c r="B10" s="12" t="n">
        <f aca="false">B5*(B3-B4)</f>
        <v>0.0164</v>
      </c>
      <c r="C10" s="11" t="s">
        <v>34</v>
      </c>
    </row>
    <row r="11" customFormat="false" ht="15" hidden="false" customHeight="false" outlineLevel="0" collapsed="false">
      <c r="A11" s="9" t="s">
        <v>35</v>
      </c>
      <c r="B11" s="15" t="n">
        <f aca="false">B9*10000</f>
        <v>164</v>
      </c>
      <c r="C11" s="11"/>
    </row>
    <row r="13" customFormat="false" ht="15" hidden="false" customHeight="false" outlineLevel="0" collapsed="false">
      <c r="A13" s="9" t="s">
        <v>36</v>
      </c>
      <c r="B13" s="10" t="n">
        <v>0.0125</v>
      </c>
      <c r="C13" s="11"/>
    </row>
    <row r="14" customFormat="false" ht="15" hidden="false" customHeight="false" outlineLevel="0" collapsed="false">
      <c r="A14" s="9" t="s">
        <v>37</v>
      </c>
      <c r="B14" s="16" t="n">
        <f aca="false">B9/B13</f>
        <v>1.312</v>
      </c>
      <c r="C14" s="11" t="s">
        <v>38</v>
      </c>
    </row>
    <row r="16" customFormat="false" ht="41.75" hidden="false" customHeight="false" outlineLevel="0" collapsed="false">
      <c r="A16" s="17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16"/>
    <col collapsed="false" customWidth="true" hidden="false" outlineLevel="0" max="3" min="3" style="0" width="60"/>
  </cols>
  <sheetData>
    <row r="1" customFormat="false" ht="15" hidden="false" customHeight="false" outlineLevel="0" collapsed="false">
      <c r="A1" s="8" t="s">
        <v>40</v>
      </c>
    </row>
    <row r="3" customFormat="false" ht="15" hidden="false" customHeight="false" outlineLevel="0" collapsed="false">
      <c r="A3" s="9" t="s">
        <v>29</v>
      </c>
      <c r="B3" s="12" t="n">
        <f aca="false">'1. Sleeve drag'!B8</f>
        <v>0.1076</v>
      </c>
      <c r="C3" s="11" t="s">
        <v>41</v>
      </c>
    </row>
    <row r="4" customFormat="false" ht="15" hidden="false" customHeight="false" outlineLevel="0" collapsed="false">
      <c r="A4" s="9" t="s">
        <v>42</v>
      </c>
      <c r="B4" s="10" t="n">
        <v>0.05</v>
      </c>
      <c r="C4" s="11"/>
    </row>
    <row r="5" customFormat="false" ht="15" hidden="false" customHeight="false" outlineLevel="0" collapsed="false">
      <c r="A5" s="9" t="s">
        <v>43</v>
      </c>
      <c r="B5" s="10" t="n">
        <v>0.125</v>
      </c>
      <c r="C5" s="11" t="s">
        <v>44</v>
      </c>
    </row>
    <row r="7" customFormat="false" ht="15" hidden="false" customHeight="false" outlineLevel="0" collapsed="false">
      <c r="A7" s="18" t="s">
        <v>45</v>
      </c>
    </row>
    <row r="8" customFormat="false" ht="15" hidden="false" customHeight="false" outlineLevel="0" collapsed="false">
      <c r="A8" s="9" t="s">
        <v>46</v>
      </c>
      <c r="B8" s="10" t="n">
        <v>0.0125</v>
      </c>
      <c r="C8" s="11"/>
    </row>
    <row r="9" customFormat="false" ht="15" hidden="false" customHeight="false" outlineLevel="0" collapsed="false">
      <c r="A9" s="9" t="s">
        <v>47</v>
      </c>
      <c r="B9" s="10" t="n">
        <v>0.0035</v>
      </c>
      <c r="C9" s="11" t="s">
        <v>48</v>
      </c>
    </row>
    <row r="10" customFormat="false" ht="15" hidden="false" customHeight="false" outlineLevel="0" collapsed="false">
      <c r="A10" s="9" t="s">
        <v>49</v>
      </c>
      <c r="B10" s="12" t="n">
        <f aca="false">B8+B9</f>
        <v>0.016</v>
      </c>
      <c r="C10" s="11"/>
    </row>
    <row r="11" customFormat="false" ht="15" hidden="false" customHeight="false" outlineLevel="0" collapsed="false">
      <c r="A11" s="9" t="s">
        <v>50</v>
      </c>
      <c r="B11" s="12" t="n">
        <f aca="false">B3-B10</f>
        <v>0.0916</v>
      </c>
      <c r="C11" s="11"/>
    </row>
    <row r="12" customFormat="false" ht="15" hidden="false" customHeight="false" outlineLevel="0" collapsed="false">
      <c r="A12" s="9" t="s">
        <v>51</v>
      </c>
      <c r="B12" s="12" t="n">
        <f aca="false">MAX(0,B11-B4)</f>
        <v>0.0416</v>
      </c>
      <c r="C12" s="11"/>
    </row>
    <row r="13" customFormat="false" ht="15" hidden="false" customHeight="false" outlineLevel="0" collapsed="false">
      <c r="A13" s="9" t="s">
        <v>52</v>
      </c>
      <c r="B13" s="12" t="n">
        <f aca="false">B5*B12</f>
        <v>0.0052</v>
      </c>
      <c r="C13" s="11"/>
    </row>
    <row r="14" customFormat="false" ht="15" hidden="false" customHeight="false" outlineLevel="0" collapsed="false">
      <c r="A14" s="13" t="s">
        <v>53</v>
      </c>
      <c r="B14" s="14" t="n">
        <f aca="false">B11-B13</f>
        <v>0.0864</v>
      </c>
      <c r="C14" s="11"/>
    </row>
    <row r="16" customFormat="false" ht="15" hidden="false" customHeight="false" outlineLevel="0" collapsed="false">
      <c r="A16" s="18" t="s">
        <v>54</v>
      </c>
    </row>
    <row r="17" customFormat="false" ht="15" hidden="false" customHeight="false" outlineLevel="0" collapsed="false">
      <c r="A17" s="9" t="s">
        <v>46</v>
      </c>
      <c r="B17" s="10" t="n">
        <v>0.0175</v>
      </c>
      <c r="C17" s="11"/>
    </row>
    <row r="18" customFormat="false" ht="15" hidden="false" customHeight="false" outlineLevel="0" collapsed="false">
      <c r="A18" s="9" t="s">
        <v>47</v>
      </c>
      <c r="B18" s="10" t="n">
        <v>0.0035</v>
      </c>
      <c r="C18" s="11"/>
    </row>
    <row r="19" customFormat="false" ht="15" hidden="false" customHeight="false" outlineLevel="0" collapsed="false">
      <c r="A19" s="9" t="s">
        <v>55</v>
      </c>
      <c r="B19" s="10" t="n">
        <v>0.0075</v>
      </c>
      <c r="C19" s="11" t="s">
        <v>56</v>
      </c>
    </row>
    <row r="20" customFormat="false" ht="15" hidden="false" customHeight="false" outlineLevel="0" collapsed="false">
      <c r="A20" s="9" t="s">
        <v>49</v>
      </c>
      <c r="B20" s="12" t="n">
        <f aca="false">B17+B18+B19</f>
        <v>0.0285</v>
      </c>
      <c r="C20" s="11"/>
    </row>
    <row r="21" customFormat="false" ht="15" hidden="false" customHeight="false" outlineLevel="0" collapsed="false">
      <c r="A21" s="9" t="s">
        <v>50</v>
      </c>
      <c r="B21" s="12" t="n">
        <f aca="false">B3-B20</f>
        <v>0.0791</v>
      </c>
      <c r="C21" s="11"/>
    </row>
    <row r="22" customFormat="false" ht="15" hidden="false" customHeight="false" outlineLevel="0" collapsed="false">
      <c r="A22" s="9" t="s">
        <v>51</v>
      </c>
      <c r="B22" s="12" t="n">
        <f aca="false">MAX(0,B21-B4)</f>
        <v>0.0291</v>
      </c>
      <c r="C22" s="11"/>
    </row>
    <row r="23" customFormat="false" ht="15" hidden="false" customHeight="false" outlineLevel="0" collapsed="false">
      <c r="A23" s="9" t="s">
        <v>52</v>
      </c>
      <c r="B23" s="12" t="n">
        <f aca="false">B5*B22</f>
        <v>0.0036375</v>
      </c>
      <c r="C23" s="11"/>
    </row>
    <row r="24" customFormat="false" ht="15" hidden="false" customHeight="false" outlineLevel="0" collapsed="false">
      <c r="A24" s="13" t="s">
        <v>53</v>
      </c>
      <c r="B24" s="14" t="n">
        <f aca="false">B21-B23</f>
        <v>0.0754625</v>
      </c>
      <c r="C24" s="11"/>
    </row>
    <row r="26" customFormat="false" ht="15" hidden="false" customHeight="false" outlineLevel="0" collapsed="false">
      <c r="A26" s="18" t="s">
        <v>57</v>
      </c>
    </row>
    <row r="27" customFormat="false" ht="15" hidden="false" customHeight="false" outlineLevel="0" collapsed="false">
      <c r="A27" s="9" t="s">
        <v>58</v>
      </c>
      <c r="B27" s="12" t="n">
        <f aca="false">B20-B10</f>
        <v>0.0125</v>
      </c>
      <c r="C27" s="11"/>
    </row>
    <row r="28" customFormat="false" ht="15" hidden="false" customHeight="false" outlineLevel="0" collapsed="false">
      <c r="A28" s="9" t="s">
        <v>59</v>
      </c>
      <c r="B28" s="12" t="n">
        <f aca="false">B13-B23</f>
        <v>0.0015625</v>
      </c>
      <c r="C28" s="11" t="s">
        <v>60</v>
      </c>
    </row>
    <row r="29" customFormat="false" ht="15" hidden="false" customHeight="false" outlineLevel="0" collapsed="false">
      <c r="A29" s="13" t="s">
        <v>61</v>
      </c>
      <c r="B29" s="14" t="n">
        <f aca="false">B14-B24</f>
        <v>0.0109375</v>
      </c>
      <c r="C29" s="11"/>
    </row>
    <row r="30" customFormat="false" ht="15" hidden="false" customHeight="false" outlineLevel="0" collapsed="false">
      <c r="A30" s="13" t="s">
        <v>62</v>
      </c>
      <c r="B30" s="19" t="n">
        <f aca="false">B29*10000</f>
        <v>109.375</v>
      </c>
      <c r="C30" s="11"/>
    </row>
    <row r="32" customFormat="false" ht="15" hidden="false" customHeight="false" outlineLevel="0" collapsed="false">
      <c r="A32" s="9" t="s">
        <v>63</v>
      </c>
      <c r="B32" s="20" t="n">
        <v>10</v>
      </c>
      <c r="C32" s="11"/>
    </row>
    <row r="33" customFormat="false" ht="15" hidden="false" customHeight="false" outlineLevel="0" collapsed="false">
      <c r="A33" s="9" t="s">
        <v>64</v>
      </c>
      <c r="B33" s="21" t="n">
        <f aca="false">100*(1+B14)^B32</f>
        <v>229.032740330641</v>
      </c>
      <c r="C33" s="11"/>
    </row>
    <row r="34" customFormat="false" ht="15" hidden="false" customHeight="false" outlineLevel="0" collapsed="false">
      <c r="A34" s="9" t="s">
        <v>65</v>
      </c>
      <c r="B34" s="21" t="n">
        <f aca="false">100*(1+B24)^B32</f>
        <v>206.991597805682</v>
      </c>
      <c r="C34" s="11"/>
    </row>
    <row r="35" customFormat="false" ht="15" hidden="false" customHeight="false" outlineLevel="0" collapsed="false">
      <c r="A35" s="13" t="s">
        <v>66</v>
      </c>
      <c r="B35" s="22" t="n">
        <f aca="false">B33-B34</f>
        <v>22.0411425249586</v>
      </c>
      <c r="C35" s="11" t="s">
        <v>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14"/>
    <col collapsed="false" customWidth="true" hidden="false" outlineLevel="0" max="4" min="4" style="0" width="16"/>
    <col collapsed="false" customWidth="true" hidden="false" outlineLevel="0" max="5" min="5" style="0" width="54"/>
  </cols>
  <sheetData>
    <row r="1" customFormat="false" ht="15" hidden="false" customHeight="false" outlineLevel="0" collapsed="false">
      <c r="A1" s="8" t="s">
        <v>68</v>
      </c>
    </row>
    <row r="3" customFormat="false" ht="15" hidden="false" customHeight="false" outlineLevel="0" collapsed="false">
      <c r="A3" s="18" t="s">
        <v>69</v>
      </c>
      <c r="B3" s="23" t="n">
        <v>100</v>
      </c>
    </row>
    <row r="5" customFormat="false" ht="15" hidden="false" customHeight="false" outlineLevel="0" collapsed="false">
      <c r="A5" s="24" t="s">
        <v>70</v>
      </c>
      <c r="B5" s="24" t="s">
        <v>71</v>
      </c>
      <c r="C5" s="24" t="s">
        <v>72</v>
      </c>
      <c r="D5" s="24" t="s">
        <v>73</v>
      </c>
      <c r="E5" s="24"/>
    </row>
    <row r="6" customFormat="false" ht="15" hidden="false" customHeight="false" outlineLevel="0" collapsed="false">
      <c r="A6" s="9" t="n">
        <v>0</v>
      </c>
      <c r="B6" s="23" t="n">
        <v>20</v>
      </c>
      <c r="C6" s="23" t="n">
        <v>0</v>
      </c>
      <c r="D6" s="21" t="n">
        <f aca="false">C6-B6</f>
        <v>-20</v>
      </c>
    </row>
    <row r="7" customFormat="false" ht="15" hidden="false" customHeight="false" outlineLevel="0" collapsed="false">
      <c r="A7" s="9" t="n">
        <v>1</v>
      </c>
      <c r="B7" s="23" t="n">
        <v>25</v>
      </c>
      <c r="C7" s="23" t="n">
        <v>0</v>
      </c>
      <c r="D7" s="21" t="n">
        <f aca="false">C7-B7</f>
        <v>-25</v>
      </c>
    </row>
    <row r="8" customFormat="false" ht="15" hidden="false" customHeight="false" outlineLevel="0" collapsed="false">
      <c r="A8" s="9" t="n">
        <v>2</v>
      </c>
      <c r="B8" s="23" t="n">
        <v>25</v>
      </c>
      <c r="C8" s="23" t="n">
        <v>0</v>
      </c>
      <c r="D8" s="21" t="n">
        <f aca="false">C8-B8</f>
        <v>-25</v>
      </c>
    </row>
    <row r="9" customFormat="false" ht="15" hidden="false" customHeight="false" outlineLevel="0" collapsed="false">
      <c r="A9" s="9" t="n">
        <v>3</v>
      </c>
      <c r="B9" s="23" t="n">
        <v>20</v>
      </c>
      <c r="C9" s="23" t="n">
        <v>0</v>
      </c>
      <c r="D9" s="21" t="n">
        <f aca="false">C9-B9</f>
        <v>-20</v>
      </c>
    </row>
    <row r="10" customFormat="false" ht="15" hidden="false" customHeight="false" outlineLevel="0" collapsed="false">
      <c r="A10" s="9" t="n">
        <v>4</v>
      </c>
      <c r="B10" s="23" t="n">
        <v>10</v>
      </c>
      <c r="C10" s="23" t="n">
        <v>15</v>
      </c>
      <c r="D10" s="21" t="n">
        <f aca="false">C10-B10</f>
        <v>5</v>
      </c>
    </row>
    <row r="11" customFormat="false" ht="15" hidden="false" customHeight="false" outlineLevel="0" collapsed="false">
      <c r="A11" s="9" t="n">
        <v>5</v>
      </c>
      <c r="B11" s="23" t="n">
        <v>0</v>
      </c>
      <c r="C11" s="23" t="n">
        <v>26</v>
      </c>
      <c r="D11" s="21" t="n">
        <f aca="false">C11-B11</f>
        <v>26</v>
      </c>
    </row>
    <row r="12" customFormat="false" ht="15" hidden="false" customHeight="false" outlineLevel="0" collapsed="false">
      <c r="A12" s="9" t="n">
        <v>6</v>
      </c>
      <c r="B12" s="23" t="n">
        <v>0</v>
      </c>
      <c r="C12" s="23" t="n">
        <v>42</v>
      </c>
      <c r="D12" s="21" t="n">
        <f aca="false">C12-B12</f>
        <v>42</v>
      </c>
    </row>
    <row r="13" customFormat="false" ht="15" hidden="false" customHeight="false" outlineLevel="0" collapsed="false">
      <c r="A13" s="9" t="n">
        <v>7</v>
      </c>
      <c r="B13" s="23" t="n">
        <v>0</v>
      </c>
      <c r="C13" s="23" t="n">
        <v>48</v>
      </c>
      <c r="D13" s="21" t="n">
        <f aca="false">C13-B13</f>
        <v>48</v>
      </c>
    </row>
    <row r="14" customFormat="false" ht="15" hidden="false" customHeight="false" outlineLevel="0" collapsed="false">
      <c r="A14" s="9" t="n">
        <v>8</v>
      </c>
      <c r="B14" s="23" t="n">
        <v>0</v>
      </c>
      <c r="C14" s="23" t="n">
        <v>44</v>
      </c>
      <c r="D14" s="21" t="n">
        <f aca="false">C14-B14</f>
        <v>44</v>
      </c>
    </row>
    <row r="15" customFormat="false" ht="15" hidden="false" customHeight="false" outlineLevel="0" collapsed="false">
      <c r="A15" s="9" t="n">
        <v>9</v>
      </c>
      <c r="B15" s="23" t="n">
        <v>0</v>
      </c>
      <c r="C15" s="23" t="n">
        <v>34</v>
      </c>
      <c r="D15" s="21" t="n">
        <f aca="false">C15-B15</f>
        <v>34</v>
      </c>
    </row>
    <row r="16" customFormat="false" ht="15" hidden="false" customHeight="false" outlineLevel="0" collapsed="false">
      <c r="A16" s="9" t="n">
        <v>10</v>
      </c>
      <c r="B16" s="23" t="n">
        <v>0</v>
      </c>
      <c r="C16" s="23" t="n">
        <v>21</v>
      </c>
      <c r="D16" s="21" t="n">
        <f aca="false">C16-B16</f>
        <v>21</v>
      </c>
    </row>
    <row r="17" customFormat="false" ht="15" hidden="false" customHeight="false" outlineLevel="0" collapsed="false">
      <c r="A17" s="18" t="s">
        <v>74</v>
      </c>
      <c r="B17" s="22" t="n">
        <f aca="false">SUM(B6:B16)</f>
        <v>100</v>
      </c>
      <c r="C17" s="22" t="n">
        <f aca="false">SUM(C6:C16)</f>
        <v>230</v>
      </c>
      <c r="D17" s="22" t="n">
        <f aca="false">SUM(D6:D16)</f>
        <v>130</v>
      </c>
    </row>
    <row r="19" customFormat="false" ht="15" hidden="false" customHeight="false" outlineLevel="0" collapsed="false">
      <c r="A19" s="13" t="s">
        <v>75</v>
      </c>
      <c r="B19" s="13"/>
      <c r="C19" s="13"/>
      <c r="D19" s="25" t="n">
        <f aca="false">C17/B17</f>
        <v>2.3</v>
      </c>
      <c r="E19" s="11" t="s">
        <v>76</v>
      </c>
    </row>
    <row r="20" customFormat="false" ht="15" hidden="false" customHeight="false" outlineLevel="0" collapsed="false">
      <c r="A20" s="13" t="s">
        <v>77</v>
      </c>
      <c r="B20" s="13"/>
      <c r="C20" s="13"/>
      <c r="D20" s="14" t="n">
        <f aca="false">IRR(D6:D16)</f>
        <v>0.169857623767602</v>
      </c>
      <c r="E20" s="11" t="s">
        <v>78</v>
      </c>
    </row>
    <row r="21" customFormat="false" ht="28.35" hidden="false" customHeight="false" outlineLevel="0" collapsed="false">
      <c r="A21" s="9" t="s">
        <v>79</v>
      </c>
      <c r="B21" s="9"/>
      <c r="C21" s="9"/>
      <c r="D21" s="12" t="n">
        <f aca="false">'1. Sleeve drag'!B4</f>
        <v>0.042</v>
      </c>
      <c r="E21" s="11" t="s">
        <v>80</v>
      </c>
    </row>
  </sheetData>
  <mergeCells count="3">
    <mergeCell ref="A19:C19"/>
    <mergeCell ref="A20:C20"/>
    <mergeCell ref="A21:C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3" min="2" style="0" width="12"/>
    <col collapsed="false" customWidth="true" hidden="false" outlineLevel="0" max="6" min="4" style="0" width="16"/>
    <col collapsed="false" customWidth="true" hidden="false" outlineLevel="0" max="7" min="7" style="0" width="52"/>
  </cols>
  <sheetData>
    <row r="1" customFormat="false" ht="15" hidden="false" customHeight="false" outlineLevel="0" collapsed="false">
      <c r="A1" s="8" t="s">
        <v>81</v>
      </c>
    </row>
    <row r="2" customFormat="false" ht="283.55" hidden="false" customHeight="false" outlineLevel="0" collapsed="false">
      <c r="A2" s="17" t="s">
        <v>82</v>
      </c>
    </row>
    <row r="4" customFormat="false" ht="15" hidden="false" customHeight="false" outlineLevel="0" collapsed="false">
      <c r="A4" s="18" t="s">
        <v>83</v>
      </c>
      <c r="B4" s="12" t="n">
        <f aca="false">'3. Drawdown fund'!D21</f>
        <v>0.042</v>
      </c>
    </row>
    <row r="6" customFormat="false" ht="28.35" hidden="false" customHeight="false" outlineLevel="0" collapsed="false">
      <c r="A6" s="24" t="s">
        <v>70</v>
      </c>
      <c r="B6" s="24" t="s">
        <v>71</v>
      </c>
      <c r="C6" s="24" t="s">
        <v>72</v>
      </c>
      <c r="D6" s="24" t="s">
        <v>84</v>
      </c>
      <c r="E6" s="24" t="s">
        <v>85</v>
      </c>
      <c r="F6" s="24" t="s">
        <v>86</v>
      </c>
      <c r="G6" s="24"/>
    </row>
    <row r="7" customFormat="false" ht="15" hidden="false" customHeight="false" outlineLevel="0" collapsed="false">
      <c r="A7" s="9" t="n">
        <v>0</v>
      </c>
      <c r="B7" s="21" t="n">
        <f aca="false">'3. Drawdown fund'!B6</f>
        <v>20</v>
      </c>
      <c r="C7" s="21" t="n">
        <f aca="false">'3. Drawdown fund'!C6</f>
        <v>0</v>
      </c>
      <c r="D7" s="21" t="n">
        <f aca="false">'3. Drawdown fund'!B3-B7</f>
        <v>80</v>
      </c>
      <c r="E7" s="21" t="n">
        <f aca="false">C7</f>
        <v>0</v>
      </c>
      <c r="F7" s="21" t="n">
        <f aca="false">D7+E7</f>
        <v>80</v>
      </c>
    </row>
    <row r="8" customFormat="false" ht="15" hidden="false" customHeight="false" outlineLevel="0" collapsed="false">
      <c r="A8" s="9" t="n">
        <v>1</v>
      </c>
      <c r="B8" s="21" t="n">
        <f aca="false">'3. Drawdown fund'!B7</f>
        <v>25</v>
      </c>
      <c r="C8" s="21" t="n">
        <f aca="false">'3. Drawdown fund'!C7</f>
        <v>0</v>
      </c>
      <c r="D8" s="21" t="n">
        <f aca="false">D7*(1+$B$4)-B8</f>
        <v>58.36</v>
      </c>
      <c r="E8" s="21" t="n">
        <f aca="false">E7*(1+$B$4)+C8</f>
        <v>0</v>
      </c>
      <c r="F8" s="21" t="n">
        <f aca="false">D8+E8</f>
        <v>58.36</v>
      </c>
    </row>
    <row r="9" customFormat="false" ht="15" hidden="false" customHeight="false" outlineLevel="0" collapsed="false">
      <c r="A9" s="9" t="n">
        <v>2</v>
      </c>
      <c r="B9" s="21" t="n">
        <f aca="false">'3. Drawdown fund'!B8</f>
        <v>25</v>
      </c>
      <c r="C9" s="21" t="n">
        <f aca="false">'3. Drawdown fund'!C8</f>
        <v>0</v>
      </c>
      <c r="D9" s="21" t="n">
        <f aca="false">D8*(1+$B$4)-B9</f>
        <v>35.81112</v>
      </c>
      <c r="E9" s="21" t="n">
        <f aca="false">E8*(1+$B$4)+C9</f>
        <v>0</v>
      </c>
      <c r="F9" s="21" t="n">
        <f aca="false">D9+E9</f>
        <v>35.81112</v>
      </c>
    </row>
    <row r="10" customFormat="false" ht="15" hidden="false" customHeight="false" outlineLevel="0" collapsed="false">
      <c r="A10" s="9" t="n">
        <v>3</v>
      </c>
      <c r="B10" s="21" t="n">
        <f aca="false">'3. Drawdown fund'!B9</f>
        <v>20</v>
      </c>
      <c r="C10" s="21" t="n">
        <f aca="false">'3. Drawdown fund'!C9</f>
        <v>0</v>
      </c>
      <c r="D10" s="21" t="n">
        <f aca="false">D9*(1+$B$4)-B10</f>
        <v>17.31518704</v>
      </c>
      <c r="E10" s="21" t="n">
        <f aca="false">E9*(1+$B$4)+C10</f>
        <v>0</v>
      </c>
      <c r="F10" s="21" t="n">
        <f aca="false">D10+E10</f>
        <v>17.31518704</v>
      </c>
    </row>
    <row r="11" customFormat="false" ht="15" hidden="false" customHeight="false" outlineLevel="0" collapsed="false">
      <c r="A11" s="9" t="n">
        <v>4</v>
      </c>
      <c r="B11" s="21" t="n">
        <f aca="false">'3. Drawdown fund'!B10</f>
        <v>10</v>
      </c>
      <c r="C11" s="21" t="n">
        <f aca="false">'3. Drawdown fund'!C10</f>
        <v>15</v>
      </c>
      <c r="D11" s="21" t="n">
        <f aca="false">D10*(1+$B$4)-B11</f>
        <v>8.04242489568001</v>
      </c>
      <c r="E11" s="21" t="n">
        <f aca="false">E10*(1+$B$4)+C11</f>
        <v>15</v>
      </c>
      <c r="F11" s="21" t="n">
        <f aca="false">D11+E11</f>
        <v>23.04242489568</v>
      </c>
    </row>
    <row r="12" customFormat="false" ht="15" hidden="false" customHeight="false" outlineLevel="0" collapsed="false">
      <c r="A12" s="9" t="n">
        <v>5</v>
      </c>
      <c r="B12" s="21" t="n">
        <f aca="false">'3. Drawdown fund'!B11</f>
        <v>0</v>
      </c>
      <c r="C12" s="21" t="n">
        <f aca="false">'3. Drawdown fund'!C11</f>
        <v>26</v>
      </c>
      <c r="D12" s="21" t="n">
        <f aca="false">D11*(1+$B$4)-B12</f>
        <v>8.38020674129857</v>
      </c>
      <c r="E12" s="21" t="n">
        <f aca="false">E11*(1+$B$4)+C12</f>
        <v>41.63</v>
      </c>
      <c r="F12" s="21" t="n">
        <f aca="false">D12+E12</f>
        <v>50.0102067412986</v>
      </c>
    </row>
    <row r="13" customFormat="false" ht="15" hidden="false" customHeight="false" outlineLevel="0" collapsed="false">
      <c r="A13" s="9" t="n">
        <v>6</v>
      </c>
      <c r="B13" s="21" t="n">
        <f aca="false">'3. Drawdown fund'!B12</f>
        <v>0</v>
      </c>
      <c r="C13" s="21" t="n">
        <f aca="false">'3. Drawdown fund'!C12</f>
        <v>42</v>
      </c>
      <c r="D13" s="21" t="n">
        <f aca="false">D12*(1+$B$4)-B13</f>
        <v>8.73217542443311</v>
      </c>
      <c r="E13" s="21" t="n">
        <f aca="false">E12*(1+$B$4)+C13</f>
        <v>85.37846</v>
      </c>
      <c r="F13" s="21" t="n">
        <f aca="false">D13+E13</f>
        <v>94.1106354244331</v>
      </c>
    </row>
    <row r="14" customFormat="false" ht="15" hidden="false" customHeight="false" outlineLevel="0" collapsed="false">
      <c r="A14" s="9" t="n">
        <v>7</v>
      </c>
      <c r="B14" s="21" t="n">
        <f aca="false">'3. Drawdown fund'!B13</f>
        <v>0</v>
      </c>
      <c r="C14" s="21" t="n">
        <f aca="false">'3. Drawdown fund'!C13</f>
        <v>48</v>
      </c>
      <c r="D14" s="21" t="n">
        <f aca="false">D13*(1+$B$4)-B14</f>
        <v>9.0989267922593</v>
      </c>
      <c r="E14" s="21" t="n">
        <f aca="false">E13*(1+$B$4)+C14</f>
        <v>136.96435532</v>
      </c>
      <c r="F14" s="21" t="n">
        <f aca="false">D14+E14</f>
        <v>146.063282112259</v>
      </c>
    </row>
    <row r="15" customFormat="false" ht="15" hidden="false" customHeight="false" outlineLevel="0" collapsed="false">
      <c r="A15" s="9" t="n">
        <v>8</v>
      </c>
      <c r="B15" s="21" t="n">
        <f aca="false">'3. Drawdown fund'!B14</f>
        <v>0</v>
      </c>
      <c r="C15" s="21" t="n">
        <f aca="false">'3. Drawdown fund'!C14</f>
        <v>44</v>
      </c>
      <c r="D15" s="21" t="n">
        <f aca="false">D14*(1+$B$4)-B15</f>
        <v>9.48108171753419</v>
      </c>
      <c r="E15" s="21" t="n">
        <f aca="false">E14*(1+$B$4)+C15</f>
        <v>186.71685824344</v>
      </c>
      <c r="F15" s="21" t="n">
        <f aca="false">D15+E15</f>
        <v>196.197939960974</v>
      </c>
    </row>
    <row r="16" customFormat="false" ht="15" hidden="false" customHeight="false" outlineLevel="0" collapsed="false">
      <c r="A16" s="9" t="n">
        <v>9</v>
      </c>
      <c r="B16" s="21" t="n">
        <f aca="false">'3. Drawdown fund'!B15</f>
        <v>0</v>
      </c>
      <c r="C16" s="21" t="n">
        <f aca="false">'3. Drawdown fund'!C15</f>
        <v>34</v>
      </c>
      <c r="D16" s="21" t="n">
        <f aca="false">D15*(1+$B$4)-B16</f>
        <v>9.87928714967063</v>
      </c>
      <c r="E16" s="21" t="n">
        <f aca="false">E15*(1+$B$4)+C16</f>
        <v>228.558966289665</v>
      </c>
      <c r="F16" s="21" t="n">
        <f aca="false">D16+E16</f>
        <v>238.438253439335</v>
      </c>
    </row>
    <row r="17" customFormat="false" ht="15" hidden="false" customHeight="false" outlineLevel="0" collapsed="false">
      <c r="A17" s="9" t="n">
        <v>10</v>
      </c>
      <c r="B17" s="21" t="n">
        <f aca="false">'3. Drawdown fund'!B16</f>
        <v>0</v>
      </c>
      <c r="C17" s="21" t="n">
        <f aca="false">'3. Drawdown fund'!C16</f>
        <v>21</v>
      </c>
      <c r="D17" s="21" t="n">
        <f aca="false">D16*(1+$B$4)-B17</f>
        <v>10.2942172099568</v>
      </c>
      <c r="E17" s="21" t="n">
        <f aca="false">E16*(1+$B$4)+C17</f>
        <v>259.15844287383</v>
      </c>
      <c r="F17" s="21" t="n">
        <f aca="false">D17+E17</f>
        <v>269.452660083787</v>
      </c>
    </row>
    <row r="19" customFormat="false" ht="15" hidden="false" customHeight="false" outlineLevel="0" collapsed="false">
      <c r="A19" s="13" t="s">
        <v>87</v>
      </c>
      <c r="B19" s="13"/>
      <c r="C19" s="13"/>
      <c r="D19" s="13"/>
      <c r="E19" s="22" t="n">
        <f aca="false">F17</f>
        <v>269.452660083787</v>
      </c>
      <c r="G19" s="11"/>
    </row>
    <row r="20" customFormat="false" ht="15" hidden="false" customHeight="false" outlineLevel="0" collapsed="false">
      <c r="A20" s="13" t="s">
        <v>88</v>
      </c>
      <c r="B20" s="13"/>
      <c r="C20" s="13"/>
      <c r="D20" s="13"/>
      <c r="E20" s="14" t="n">
        <f aca="false">(E19/'3. Drawdown fund'!B3)^(1/10)-1</f>
        <v>0.104201283295026</v>
      </c>
      <c r="G20" s="11"/>
    </row>
    <row r="21" customFormat="false" ht="15" hidden="false" customHeight="false" outlineLevel="0" collapsed="false">
      <c r="A21" s="9" t="s">
        <v>89</v>
      </c>
      <c r="B21" s="9"/>
      <c r="C21" s="9"/>
      <c r="D21" s="9"/>
      <c r="E21" s="12" t="n">
        <f aca="false">'2. Share classes'!B14</f>
        <v>0.0864</v>
      </c>
      <c r="G21" s="11"/>
    </row>
    <row r="22" customFormat="false" ht="15" hidden="false" customHeight="false" outlineLevel="0" collapsed="false">
      <c r="A22" s="9" t="s">
        <v>90</v>
      </c>
      <c r="B22" s="9"/>
      <c r="C22" s="9"/>
      <c r="D22" s="9"/>
      <c r="E22" s="21" t="n">
        <f aca="false">'2. Share classes'!B33</f>
        <v>229.032740330641</v>
      </c>
      <c r="G22" s="11"/>
    </row>
    <row r="24" customFormat="false" ht="15" hidden="false" customHeight="false" outlineLevel="0" collapsed="false">
      <c r="A24" s="13" t="s">
        <v>91</v>
      </c>
      <c r="B24" s="13"/>
      <c r="C24" s="13"/>
      <c r="D24" s="13"/>
      <c r="E24" s="14" t="n">
        <f aca="false">'3. Drawdown fund'!D20-E21</f>
        <v>0.0834576237676019</v>
      </c>
      <c r="G24" s="11" t="s">
        <v>92</v>
      </c>
    </row>
    <row r="25" customFormat="false" ht="15" hidden="false" customHeight="false" outlineLevel="0" collapsed="false">
      <c r="A25" s="13" t="s">
        <v>93</v>
      </c>
      <c r="B25" s="13"/>
      <c r="C25" s="13"/>
      <c r="D25" s="13"/>
      <c r="E25" s="14" t="n">
        <f aca="false">E20-E21</f>
        <v>0.0178012832950261</v>
      </c>
      <c r="G25" s="11" t="s">
        <v>94</v>
      </c>
    </row>
    <row r="26" customFormat="false" ht="15" hidden="false" customHeight="false" outlineLevel="0" collapsed="false">
      <c r="A26" s="13" t="s">
        <v>95</v>
      </c>
      <c r="B26" s="13"/>
      <c r="C26" s="13"/>
      <c r="D26" s="13"/>
      <c r="E26" s="26" t="n">
        <f aca="false">1-E25/E24</f>
        <v>0.786702730183213</v>
      </c>
      <c r="G26" s="11"/>
    </row>
  </sheetData>
  <mergeCells count="7">
    <mergeCell ref="A19:D19"/>
    <mergeCell ref="A20:D20"/>
    <mergeCell ref="A21:D21"/>
    <mergeCell ref="A22:D22"/>
    <mergeCell ref="A24:D24"/>
    <mergeCell ref="A25:D25"/>
    <mergeCell ref="A26:D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P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6"/>
    <col collapsed="false" customWidth="true" hidden="false" outlineLevel="0" max="5" min="3" style="0" width="18"/>
    <col collapsed="false" customWidth="true" hidden="false" outlineLevel="0" max="6" min="6" style="0" width="52"/>
    <col collapsed="false" customWidth="true" hidden="true" outlineLevel="0" max="43" min="8" style="0" width="13"/>
  </cols>
  <sheetData>
    <row r="1" customFormat="false" ht="15" hidden="false" customHeight="false" outlineLevel="0" collapsed="false">
      <c r="A1" s="8" t="s">
        <v>96</v>
      </c>
    </row>
    <row r="2" customFormat="false" ht="95.5" hidden="false" customHeight="false" outlineLevel="0" collapsed="false">
      <c r="A2" s="17" t="s">
        <v>97</v>
      </c>
    </row>
    <row r="4" customFormat="false" ht="15" hidden="false" customHeight="false" outlineLevel="0" collapsed="false">
      <c r="A4" s="18" t="s">
        <v>98</v>
      </c>
      <c r="B4" s="21" t="n">
        <f aca="false">'2. Share classes'!B33</f>
        <v>229.032740330641</v>
      </c>
    </row>
    <row r="5" customFormat="false" ht="15" hidden="false" customHeight="false" outlineLevel="0" collapsed="false">
      <c r="A5" s="18" t="s">
        <v>99</v>
      </c>
      <c r="B5" s="12" t="n">
        <f aca="false">'2. Share classes'!B14</f>
        <v>0.0864</v>
      </c>
    </row>
    <row r="7" customFormat="false" ht="15" hidden="false" customHeight="false" outlineLevel="0" collapsed="false">
      <c r="A7" s="24" t="s">
        <v>100</v>
      </c>
      <c r="B7" s="24" t="s">
        <v>101</v>
      </c>
      <c r="C7" s="24" t="s">
        <v>102</v>
      </c>
      <c r="D7" s="24" t="s">
        <v>103</v>
      </c>
      <c r="E7" s="24" t="s">
        <v>104</v>
      </c>
      <c r="F7" s="24"/>
    </row>
    <row r="8" customFormat="false" ht="15" hidden="false" customHeight="false" outlineLevel="0" collapsed="false">
      <c r="A8" s="27" t="n">
        <v>1.8</v>
      </c>
      <c r="B8" s="12" t="n">
        <f aca="false">IRR(J8:J18)</f>
        <v>0.1163927628703</v>
      </c>
      <c r="C8" s="12" t="n">
        <f aca="false">(D8/'3. Drawdown fund'!B3)^(1/10)-1</f>
        <v>0.0786018756809315</v>
      </c>
      <c r="D8" s="21" t="n">
        <f aca="false">AC18+AD18</f>
        <v>213.113868154694</v>
      </c>
      <c r="E8" s="28" t="str">
        <f aca="false">IF(D8&gt;$B$4,"yes","NO")</f>
        <v>NO</v>
      </c>
      <c r="H8" s="29" t="n">
        <f aca="false">'3. Drawdown fund'!B6</f>
        <v>20</v>
      </c>
      <c r="I8" s="29" t="n">
        <f aca="false">'3. Drawdown fund'!C6*$A$8/'3. Drawdown fund'!$D$19</f>
        <v>0</v>
      </c>
      <c r="J8" s="29" t="n">
        <f aca="false">I8-H8</f>
        <v>-20</v>
      </c>
      <c r="K8" s="29" t="n">
        <f aca="false">'3. Drawdown fund'!B6</f>
        <v>20</v>
      </c>
      <c r="L8" s="29" t="n">
        <f aca="false">'3. Drawdown fund'!C6*$A$9/'3. Drawdown fund'!$D$19</f>
        <v>0</v>
      </c>
      <c r="M8" s="29" t="n">
        <f aca="false">L8-K8</f>
        <v>-20</v>
      </c>
      <c r="N8" s="29" t="n">
        <f aca="false">'3. Drawdown fund'!B6</f>
        <v>20</v>
      </c>
      <c r="O8" s="29" t="n">
        <f aca="false">'3. Drawdown fund'!C6*$A$10/'3. Drawdown fund'!$D$19</f>
        <v>0</v>
      </c>
      <c r="P8" s="29" t="n">
        <f aca="false">O8-N8</f>
        <v>-20</v>
      </c>
      <c r="Q8" s="29" t="n">
        <f aca="false">'3. Drawdown fund'!B6</f>
        <v>20</v>
      </c>
      <c r="R8" s="29" t="n">
        <f aca="false">'3. Drawdown fund'!C6*$A$11/'3. Drawdown fund'!$D$19</f>
        <v>0</v>
      </c>
      <c r="S8" s="29" t="n">
        <f aca="false">R8-Q8</f>
        <v>-20</v>
      </c>
      <c r="T8" s="29" t="n">
        <f aca="false">'3. Drawdown fund'!B6</f>
        <v>20</v>
      </c>
      <c r="U8" s="29" t="n">
        <f aca="false">'3. Drawdown fund'!C6*$A$12/'3. Drawdown fund'!$D$19</f>
        <v>0</v>
      </c>
      <c r="V8" s="29" t="n">
        <f aca="false">U8-T8</f>
        <v>-20</v>
      </c>
      <c r="W8" s="29" t="n">
        <f aca="false">'3. Drawdown fund'!B6</f>
        <v>20</v>
      </c>
      <c r="X8" s="29" t="n">
        <f aca="false">'3. Drawdown fund'!C6*$A$13/'3. Drawdown fund'!$D$19</f>
        <v>0</v>
      </c>
      <c r="Y8" s="29" t="n">
        <f aca="false">X8-W8</f>
        <v>-20</v>
      </c>
      <c r="Z8" s="29" t="n">
        <f aca="false">'3. Drawdown fund'!B6</f>
        <v>20</v>
      </c>
      <c r="AA8" s="29" t="n">
        <f aca="false">'3. Drawdown fund'!C6*$A$14/'3. Drawdown fund'!$D$19</f>
        <v>0</v>
      </c>
      <c r="AB8" s="29" t="n">
        <f aca="false">AA8-Z8</f>
        <v>-20</v>
      </c>
      <c r="AC8" s="29" t="n">
        <f aca="false">'3. Drawdown fund'!B3-H8</f>
        <v>80</v>
      </c>
      <c r="AD8" s="29" t="n">
        <f aca="false">I8</f>
        <v>0</v>
      </c>
      <c r="AE8" s="29" t="n">
        <f aca="false">'3. Drawdown fund'!B3-K8</f>
        <v>80</v>
      </c>
      <c r="AF8" s="29" t="n">
        <f aca="false">L8</f>
        <v>0</v>
      </c>
      <c r="AG8" s="29" t="n">
        <f aca="false">'3. Drawdown fund'!B3-N8</f>
        <v>80</v>
      </c>
      <c r="AH8" s="29" t="n">
        <f aca="false">O8</f>
        <v>0</v>
      </c>
      <c r="AI8" s="29" t="n">
        <f aca="false">'3. Drawdown fund'!B3-Q8</f>
        <v>80</v>
      </c>
      <c r="AJ8" s="29" t="n">
        <f aca="false">R8</f>
        <v>0</v>
      </c>
      <c r="AK8" s="29" t="n">
        <f aca="false">'3. Drawdown fund'!B3-T8</f>
        <v>80</v>
      </c>
      <c r="AL8" s="29" t="n">
        <f aca="false">U8</f>
        <v>0</v>
      </c>
      <c r="AM8" s="29" t="n">
        <f aca="false">'3. Drawdown fund'!B3-W8</f>
        <v>80</v>
      </c>
      <c r="AN8" s="29" t="n">
        <f aca="false">X8</f>
        <v>0</v>
      </c>
      <c r="AO8" s="29" t="n">
        <f aca="false">'3. Drawdown fund'!B3-Z8</f>
        <v>80</v>
      </c>
      <c r="AP8" s="29" t="n">
        <f aca="false">AA8</f>
        <v>0</v>
      </c>
    </row>
    <row r="9" customFormat="false" ht="15" hidden="false" customHeight="false" outlineLevel="0" collapsed="false">
      <c r="A9" s="27" t="n">
        <v>1.9</v>
      </c>
      <c r="B9" s="12" t="n">
        <f aca="false">IRR(M8:M18)</f>
        <v>0.127920416126397</v>
      </c>
      <c r="C9" s="12" t="n">
        <f aca="false">(D9/'3. Drawdown fund'!B3)^(1/10)-1</f>
        <v>0.0841733536952813</v>
      </c>
      <c r="D9" s="21" t="n">
        <f aca="false">AE18+AF18</f>
        <v>224.381626540512</v>
      </c>
      <c r="E9" s="28" t="str">
        <f aca="false">IF(D9&gt;$B$4,"yes","NO")</f>
        <v>NO</v>
      </c>
      <c r="H9" s="29" t="n">
        <f aca="false">'3. Drawdown fund'!B7</f>
        <v>25</v>
      </c>
      <c r="I9" s="29" t="n">
        <f aca="false">'3. Drawdown fund'!C7*$A$8/'3. Drawdown fund'!$D$19</f>
        <v>0</v>
      </c>
      <c r="J9" s="29" t="n">
        <f aca="false">I9-H9</f>
        <v>-25</v>
      </c>
      <c r="K9" s="29" t="n">
        <f aca="false">'3. Drawdown fund'!B7</f>
        <v>25</v>
      </c>
      <c r="L9" s="29" t="n">
        <f aca="false">'3. Drawdown fund'!C7*$A$9/'3. Drawdown fund'!$D$19</f>
        <v>0</v>
      </c>
      <c r="M9" s="29" t="n">
        <f aca="false">L9-K9</f>
        <v>-25</v>
      </c>
      <c r="N9" s="29" t="n">
        <f aca="false">'3. Drawdown fund'!B7</f>
        <v>25</v>
      </c>
      <c r="O9" s="29" t="n">
        <f aca="false">'3. Drawdown fund'!C7*$A$10/'3. Drawdown fund'!$D$19</f>
        <v>0</v>
      </c>
      <c r="P9" s="29" t="n">
        <f aca="false">O9-N9</f>
        <v>-25</v>
      </c>
      <c r="Q9" s="29" t="n">
        <f aca="false">'3. Drawdown fund'!B7</f>
        <v>25</v>
      </c>
      <c r="R9" s="29" t="n">
        <f aca="false">'3. Drawdown fund'!C7*$A$11/'3. Drawdown fund'!$D$19</f>
        <v>0</v>
      </c>
      <c r="S9" s="29" t="n">
        <f aca="false">R9-Q9</f>
        <v>-25</v>
      </c>
      <c r="T9" s="29" t="n">
        <f aca="false">'3. Drawdown fund'!B7</f>
        <v>25</v>
      </c>
      <c r="U9" s="29" t="n">
        <f aca="false">'3. Drawdown fund'!C7*$A$12/'3. Drawdown fund'!$D$19</f>
        <v>0</v>
      </c>
      <c r="V9" s="29" t="n">
        <f aca="false">U9-T9</f>
        <v>-25</v>
      </c>
      <c r="W9" s="29" t="n">
        <f aca="false">'3. Drawdown fund'!B7</f>
        <v>25</v>
      </c>
      <c r="X9" s="29" t="n">
        <f aca="false">'3. Drawdown fund'!C7*$A$13/'3. Drawdown fund'!$D$19</f>
        <v>0</v>
      </c>
      <c r="Y9" s="29" t="n">
        <f aca="false">X9-W9</f>
        <v>-25</v>
      </c>
      <c r="Z9" s="29" t="n">
        <f aca="false">'3. Drawdown fund'!B7</f>
        <v>25</v>
      </c>
      <c r="AA9" s="29" t="n">
        <f aca="false">'3. Drawdown fund'!C7*$A$14/'3. Drawdown fund'!$D$19</f>
        <v>0</v>
      </c>
      <c r="AB9" s="29" t="n">
        <f aca="false">AA9-Z9</f>
        <v>-25</v>
      </c>
      <c r="AC9" s="29" t="n">
        <f aca="false">AC8*(1+'4. Committed capital'!$B$4)-H9</f>
        <v>58.36</v>
      </c>
      <c r="AD9" s="29" t="n">
        <f aca="false">AD8*(1+'4. Committed capital'!$B$4)+I9</f>
        <v>0</v>
      </c>
      <c r="AE9" s="29" t="n">
        <f aca="false">AE8*(1+'4. Committed capital'!$B$4)-K9</f>
        <v>58.36</v>
      </c>
      <c r="AF9" s="29" t="n">
        <f aca="false">AF8*(1+'4. Committed capital'!$B$4)+L9</f>
        <v>0</v>
      </c>
      <c r="AG9" s="29" t="n">
        <f aca="false">AG8*(1+'4. Committed capital'!$B$4)-N9</f>
        <v>58.36</v>
      </c>
      <c r="AH9" s="29" t="n">
        <f aca="false">AH8*(1+'4. Committed capital'!$B$4)+O9</f>
        <v>0</v>
      </c>
      <c r="AI9" s="29" t="n">
        <f aca="false">AI8*(1+'4. Committed capital'!$B$4)-Q9</f>
        <v>58.36</v>
      </c>
      <c r="AJ9" s="29" t="n">
        <f aca="false">AJ8*(1+'4. Committed capital'!$B$4)+R9</f>
        <v>0</v>
      </c>
      <c r="AK9" s="29" t="n">
        <f aca="false">AK8*(1+'4. Committed capital'!$B$4)-T9</f>
        <v>58.36</v>
      </c>
      <c r="AL9" s="29" t="n">
        <f aca="false">AL8*(1+'4. Committed capital'!$B$4)+U9</f>
        <v>0</v>
      </c>
      <c r="AM9" s="29" t="n">
        <f aca="false">AM8*(1+'4. Committed capital'!$B$4)-W9</f>
        <v>58.36</v>
      </c>
      <c r="AN9" s="29" t="n">
        <f aca="false">AN8*(1+'4. Committed capital'!$B$4)+X9</f>
        <v>0</v>
      </c>
      <c r="AO9" s="29" t="n">
        <f aca="false">AO8*(1+'4. Committed capital'!$B$4)-Z9</f>
        <v>58.36</v>
      </c>
      <c r="AP9" s="29" t="n">
        <f aca="false">AP8*(1+'4. Committed capital'!$B$4)+AA9</f>
        <v>0</v>
      </c>
    </row>
    <row r="10" customFormat="false" ht="15" hidden="false" customHeight="false" outlineLevel="0" collapsed="false">
      <c r="A10" s="30" t="n">
        <f aca="false">('2. Share classes'!B33-'4. Committed capital'!D17)/(SUMPRODUCT('3. Drawdown fund'!C6:C16,(1+'4. Committed capital'!B4)^(10-'3. Drawdown fund'!A6:A16))/'3. Drawdown fund'!D19)</f>
        <v>1.9412780752912</v>
      </c>
      <c r="B10" s="12" t="n">
        <f aca="false">IRR(P8:P18)</f>
        <v>0.132543859997493</v>
      </c>
      <c r="C10" s="12" t="n">
        <f aca="false">(D10/'3. Drawdown fund'!B3)^(1/10)-1</f>
        <v>0.0864</v>
      </c>
      <c r="D10" s="21" t="n">
        <f aca="false">AG18+AH18</f>
        <v>229.032740330641</v>
      </c>
      <c r="E10" s="28" t="str">
        <f aca="false">IF(D10&gt;$B$4,"yes","NO")</f>
        <v>NO</v>
      </c>
      <c r="H10" s="29" t="n">
        <f aca="false">'3. Drawdown fund'!B8</f>
        <v>25</v>
      </c>
      <c r="I10" s="29" t="n">
        <f aca="false">'3. Drawdown fund'!C8*$A$8/'3. Drawdown fund'!$D$19</f>
        <v>0</v>
      </c>
      <c r="J10" s="29" t="n">
        <f aca="false">I10-H10</f>
        <v>-25</v>
      </c>
      <c r="K10" s="29" t="n">
        <f aca="false">'3. Drawdown fund'!B8</f>
        <v>25</v>
      </c>
      <c r="L10" s="29" t="n">
        <f aca="false">'3. Drawdown fund'!C8*$A$9/'3. Drawdown fund'!$D$19</f>
        <v>0</v>
      </c>
      <c r="M10" s="29" t="n">
        <f aca="false">L10-K10</f>
        <v>-25</v>
      </c>
      <c r="N10" s="29" t="n">
        <f aca="false">'3. Drawdown fund'!B8</f>
        <v>25</v>
      </c>
      <c r="O10" s="29" t="n">
        <f aca="false">'3. Drawdown fund'!C8*$A$10/'3. Drawdown fund'!$D$19</f>
        <v>0</v>
      </c>
      <c r="P10" s="29" t="n">
        <f aca="false">O10-N10</f>
        <v>-25</v>
      </c>
      <c r="Q10" s="29" t="n">
        <f aca="false">'3. Drawdown fund'!B8</f>
        <v>25</v>
      </c>
      <c r="R10" s="29" t="n">
        <f aca="false">'3. Drawdown fund'!C8*$A$11/'3. Drawdown fund'!$D$19</f>
        <v>0</v>
      </c>
      <c r="S10" s="29" t="n">
        <f aca="false">R10-Q10</f>
        <v>-25</v>
      </c>
      <c r="T10" s="29" t="n">
        <f aca="false">'3. Drawdown fund'!B8</f>
        <v>25</v>
      </c>
      <c r="U10" s="29" t="n">
        <f aca="false">'3. Drawdown fund'!C8*$A$12/'3. Drawdown fund'!$D$19</f>
        <v>0</v>
      </c>
      <c r="V10" s="29" t="n">
        <f aca="false">U10-T10</f>
        <v>-25</v>
      </c>
      <c r="W10" s="29" t="n">
        <f aca="false">'3. Drawdown fund'!B8</f>
        <v>25</v>
      </c>
      <c r="X10" s="29" t="n">
        <f aca="false">'3. Drawdown fund'!C8*$A$13/'3. Drawdown fund'!$D$19</f>
        <v>0</v>
      </c>
      <c r="Y10" s="29" t="n">
        <f aca="false">X10-W10</f>
        <v>-25</v>
      </c>
      <c r="Z10" s="29" t="n">
        <f aca="false">'3. Drawdown fund'!B8</f>
        <v>25</v>
      </c>
      <c r="AA10" s="29" t="n">
        <f aca="false">'3. Drawdown fund'!C8*$A$14/'3. Drawdown fund'!$D$19</f>
        <v>0</v>
      </c>
      <c r="AB10" s="29" t="n">
        <f aca="false">AA10-Z10</f>
        <v>-25</v>
      </c>
      <c r="AC10" s="29" t="n">
        <f aca="false">AC9*(1+'4. Committed capital'!$B$4)-H10</f>
        <v>35.81112</v>
      </c>
      <c r="AD10" s="29" t="n">
        <f aca="false">AD9*(1+'4. Committed capital'!$B$4)+I10</f>
        <v>0</v>
      </c>
      <c r="AE10" s="29" t="n">
        <f aca="false">AE9*(1+'4. Committed capital'!$B$4)-K10</f>
        <v>35.81112</v>
      </c>
      <c r="AF10" s="29" t="n">
        <f aca="false">AF9*(1+'4. Committed capital'!$B$4)+L10</f>
        <v>0</v>
      </c>
      <c r="AG10" s="29" t="n">
        <f aca="false">AG9*(1+'4. Committed capital'!$B$4)-N10</f>
        <v>35.81112</v>
      </c>
      <c r="AH10" s="29" t="n">
        <f aca="false">AH9*(1+'4. Committed capital'!$B$4)+O10</f>
        <v>0</v>
      </c>
      <c r="AI10" s="29" t="n">
        <f aca="false">AI9*(1+'4. Committed capital'!$B$4)-Q10</f>
        <v>35.81112</v>
      </c>
      <c r="AJ10" s="29" t="n">
        <f aca="false">AJ9*(1+'4. Committed capital'!$B$4)+R10</f>
        <v>0</v>
      </c>
      <c r="AK10" s="29" t="n">
        <f aca="false">AK9*(1+'4. Committed capital'!$B$4)-T10</f>
        <v>35.81112</v>
      </c>
      <c r="AL10" s="29" t="n">
        <f aca="false">AL9*(1+'4. Committed capital'!$B$4)+U10</f>
        <v>0</v>
      </c>
      <c r="AM10" s="29" t="n">
        <f aca="false">AM9*(1+'4. Committed capital'!$B$4)-W10</f>
        <v>35.81112</v>
      </c>
      <c r="AN10" s="29" t="n">
        <f aca="false">AN9*(1+'4. Committed capital'!$B$4)+X10</f>
        <v>0</v>
      </c>
      <c r="AO10" s="29" t="n">
        <f aca="false">AO9*(1+'4. Committed capital'!$B$4)-Z10</f>
        <v>35.81112</v>
      </c>
      <c r="AP10" s="29" t="n">
        <f aca="false">AP9*(1+'4. Committed capital'!$B$4)+AA10</f>
        <v>0</v>
      </c>
    </row>
    <row r="11" customFormat="false" ht="15" hidden="false" customHeight="false" outlineLevel="0" collapsed="false">
      <c r="A11" s="27" t="n">
        <v>2</v>
      </c>
      <c r="B11" s="12" t="n">
        <f aca="false">IRR(S8:S18)</f>
        <v>0.13899348041839</v>
      </c>
      <c r="C11" s="12" t="n">
        <f aca="false">(D11/'3. Drawdown fund'!B3)^(1/10)-1</f>
        <v>0.0894984859487857</v>
      </c>
      <c r="D11" s="21" t="n">
        <f aca="false">AI18+AJ18</f>
        <v>235.649384926331</v>
      </c>
      <c r="E11" s="28" t="str">
        <f aca="false">IF(D11&gt;$B$4,"yes","NO")</f>
        <v>yes</v>
      </c>
      <c r="H11" s="29" t="n">
        <f aca="false">'3. Drawdown fund'!B9</f>
        <v>20</v>
      </c>
      <c r="I11" s="29" t="n">
        <f aca="false">'3. Drawdown fund'!C9*$A$8/'3. Drawdown fund'!$D$19</f>
        <v>0</v>
      </c>
      <c r="J11" s="29" t="n">
        <f aca="false">I11-H11</f>
        <v>-20</v>
      </c>
      <c r="K11" s="29" t="n">
        <f aca="false">'3. Drawdown fund'!B9</f>
        <v>20</v>
      </c>
      <c r="L11" s="29" t="n">
        <f aca="false">'3. Drawdown fund'!C9*$A$9/'3. Drawdown fund'!$D$19</f>
        <v>0</v>
      </c>
      <c r="M11" s="29" t="n">
        <f aca="false">L11-K11</f>
        <v>-20</v>
      </c>
      <c r="N11" s="29" t="n">
        <f aca="false">'3. Drawdown fund'!B9</f>
        <v>20</v>
      </c>
      <c r="O11" s="29" t="n">
        <f aca="false">'3. Drawdown fund'!C9*$A$10/'3. Drawdown fund'!$D$19</f>
        <v>0</v>
      </c>
      <c r="P11" s="29" t="n">
        <f aca="false">O11-N11</f>
        <v>-20</v>
      </c>
      <c r="Q11" s="29" t="n">
        <f aca="false">'3. Drawdown fund'!B9</f>
        <v>20</v>
      </c>
      <c r="R11" s="29" t="n">
        <f aca="false">'3. Drawdown fund'!C9*$A$11/'3. Drawdown fund'!$D$19</f>
        <v>0</v>
      </c>
      <c r="S11" s="29" t="n">
        <f aca="false">R11-Q11</f>
        <v>-20</v>
      </c>
      <c r="T11" s="29" t="n">
        <f aca="false">'3. Drawdown fund'!B9</f>
        <v>20</v>
      </c>
      <c r="U11" s="29" t="n">
        <f aca="false">'3. Drawdown fund'!C9*$A$12/'3. Drawdown fund'!$D$19</f>
        <v>0</v>
      </c>
      <c r="V11" s="29" t="n">
        <f aca="false">U11-T11</f>
        <v>-20</v>
      </c>
      <c r="W11" s="29" t="n">
        <f aca="false">'3. Drawdown fund'!B9</f>
        <v>20</v>
      </c>
      <c r="X11" s="29" t="n">
        <f aca="false">'3. Drawdown fund'!C9*$A$13/'3. Drawdown fund'!$D$19</f>
        <v>0</v>
      </c>
      <c r="Y11" s="29" t="n">
        <f aca="false">X11-W11</f>
        <v>-20</v>
      </c>
      <c r="Z11" s="29" t="n">
        <f aca="false">'3. Drawdown fund'!B9</f>
        <v>20</v>
      </c>
      <c r="AA11" s="29" t="n">
        <f aca="false">'3. Drawdown fund'!C9*$A$14/'3. Drawdown fund'!$D$19</f>
        <v>0</v>
      </c>
      <c r="AB11" s="29" t="n">
        <f aca="false">AA11-Z11</f>
        <v>-20</v>
      </c>
      <c r="AC11" s="29" t="n">
        <f aca="false">AC10*(1+'4. Committed capital'!$B$4)-H11</f>
        <v>17.31518704</v>
      </c>
      <c r="AD11" s="29" t="n">
        <f aca="false">AD10*(1+'4. Committed capital'!$B$4)+I11</f>
        <v>0</v>
      </c>
      <c r="AE11" s="29" t="n">
        <f aca="false">AE10*(1+'4. Committed capital'!$B$4)-K11</f>
        <v>17.31518704</v>
      </c>
      <c r="AF11" s="29" t="n">
        <f aca="false">AF10*(1+'4. Committed capital'!$B$4)+L11</f>
        <v>0</v>
      </c>
      <c r="AG11" s="29" t="n">
        <f aca="false">AG10*(1+'4. Committed capital'!$B$4)-N11</f>
        <v>17.31518704</v>
      </c>
      <c r="AH11" s="29" t="n">
        <f aca="false">AH10*(1+'4. Committed capital'!$B$4)+O11</f>
        <v>0</v>
      </c>
      <c r="AI11" s="29" t="n">
        <f aca="false">AI10*(1+'4. Committed capital'!$B$4)-Q11</f>
        <v>17.31518704</v>
      </c>
      <c r="AJ11" s="29" t="n">
        <f aca="false">AJ10*(1+'4. Committed capital'!$B$4)+R11</f>
        <v>0</v>
      </c>
      <c r="AK11" s="29" t="n">
        <f aca="false">AK10*(1+'4. Committed capital'!$B$4)-T11</f>
        <v>17.31518704</v>
      </c>
      <c r="AL11" s="29" t="n">
        <f aca="false">AL10*(1+'4. Committed capital'!$B$4)+U11</f>
        <v>0</v>
      </c>
      <c r="AM11" s="29" t="n">
        <f aca="false">AM10*(1+'4. Committed capital'!$B$4)-W11</f>
        <v>17.31518704</v>
      </c>
      <c r="AN11" s="29" t="n">
        <f aca="false">AN10*(1+'4. Committed capital'!$B$4)+X11</f>
        <v>0</v>
      </c>
      <c r="AO11" s="29" t="n">
        <f aca="false">AO10*(1+'4. Committed capital'!$B$4)-Z11</f>
        <v>17.31518704</v>
      </c>
      <c r="AP11" s="29" t="n">
        <f aca="false">AP10*(1+'4. Committed capital'!$B$4)+AA11</f>
        <v>0</v>
      </c>
    </row>
    <row r="12" customFormat="false" ht="15" hidden="false" customHeight="false" outlineLevel="0" collapsed="false">
      <c r="A12" s="27" t="n">
        <v>2.2</v>
      </c>
      <c r="B12" s="12" t="n">
        <f aca="false">IRR(V8:V18)</f>
        <v>0.159929675132651</v>
      </c>
      <c r="C12" s="12" t="n">
        <f aca="false">(D12/'3. Drawdown fund'!B3)^(1/10)-1</f>
        <v>0.0994945580785733</v>
      </c>
      <c r="D12" s="21" t="n">
        <f aca="false">AK18+AL18</f>
        <v>258.184901697969</v>
      </c>
      <c r="E12" s="28" t="str">
        <f aca="false">IF(D12&gt;$B$4,"yes","NO")</f>
        <v>yes</v>
      </c>
      <c r="H12" s="29" t="n">
        <f aca="false">'3. Drawdown fund'!B10</f>
        <v>10</v>
      </c>
      <c r="I12" s="29" t="n">
        <f aca="false">'3. Drawdown fund'!C10*$A$8/'3. Drawdown fund'!$D$19</f>
        <v>11.7391304347826</v>
      </c>
      <c r="J12" s="29" t="n">
        <f aca="false">I12-H12</f>
        <v>1.73913043478261</v>
      </c>
      <c r="K12" s="29" t="n">
        <f aca="false">'3. Drawdown fund'!B10</f>
        <v>10</v>
      </c>
      <c r="L12" s="29" t="n">
        <f aca="false">'3. Drawdown fund'!C10*$A$9/'3. Drawdown fund'!$D$19</f>
        <v>12.3913043478261</v>
      </c>
      <c r="M12" s="29" t="n">
        <f aca="false">L12-K12</f>
        <v>2.39130434782609</v>
      </c>
      <c r="N12" s="29" t="n">
        <f aca="false">'3. Drawdown fund'!B10</f>
        <v>10</v>
      </c>
      <c r="O12" s="29" t="n">
        <f aca="false">'3. Drawdown fund'!C10*$A$10/'3. Drawdown fund'!$D$19</f>
        <v>12.6605091866817</v>
      </c>
      <c r="P12" s="29" t="n">
        <f aca="false">O12-N12</f>
        <v>2.66050918668171</v>
      </c>
      <c r="Q12" s="29" t="n">
        <f aca="false">'3. Drawdown fund'!B10</f>
        <v>10</v>
      </c>
      <c r="R12" s="29" t="n">
        <f aca="false">'3. Drawdown fund'!C10*$A$11/'3. Drawdown fund'!$D$19</f>
        <v>13.0434782608696</v>
      </c>
      <c r="S12" s="29" t="n">
        <f aca="false">R12-Q12</f>
        <v>3.04347826086957</v>
      </c>
      <c r="T12" s="29" t="n">
        <f aca="false">'3. Drawdown fund'!B10</f>
        <v>10</v>
      </c>
      <c r="U12" s="29" t="n">
        <f aca="false">'3. Drawdown fund'!C10*$A$12/'3. Drawdown fund'!$D$19</f>
        <v>14.3478260869565</v>
      </c>
      <c r="V12" s="29" t="n">
        <f aca="false">U12-T12</f>
        <v>4.34782608695652</v>
      </c>
      <c r="W12" s="29" t="n">
        <f aca="false">'3. Drawdown fund'!B10</f>
        <v>10</v>
      </c>
      <c r="X12" s="29" t="n">
        <f aca="false">'3. Drawdown fund'!C10*$A$13/'3. Drawdown fund'!$D$19</f>
        <v>15</v>
      </c>
      <c r="Y12" s="29" t="n">
        <f aca="false">X12-W12</f>
        <v>5</v>
      </c>
      <c r="Z12" s="29" t="n">
        <f aca="false">'3. Drawdown fund'!B10</f>
        <v>10</v>
      </c>
      <c r="AA12" s="29" t="n">
        <f aca="false">'3. Drawdown fund'!C10*$A$14/'3. Drawdown fund'!$D$19</f>
        <v>16.304347826087</v>
      </c>
      <c r="AB12" s="29" t="n">
        <f aca="false">AA12-Z12</f>
        <v>6.30434782608696</v>
      </c>
      <c r="AC12" s="29" t="n">
        <f aca="false">AC11*(1+'4. Committed capital'!$B$4)-H12</f>
        <v>8.04242489568001</v>
      </c>
      <c r="AD12" s="29" t="n">
        <f aca="false">AD11*(1+'4. Committed capital'!$B$4)+I12</f>
        <v>11.7391304347826</v>
      </c>
      <c r="AE12" s="29" t="n">
        <f aca="false">AE11*(1+'4. Committed capital'!$B$4)-K12</f>
        <v>8.04242489568001</v>
      </c>
      <c r="AF12" s="29" t="n">
        <f aca="false">AF11*(1+'4. Committed capital'!$B$4)+L12</f>
        <v>12.3913043478261</v>
      </c>
      <c r="AG12" s="29" t="n">
        <f aca="false">AG11*(1+'4. Committed capital'!$B$4)-N12</f>
        <v>8.04242489568001</v>
      </c>
      <c r="AH12" s="29" t="n">
        <f aca="false">AH11*(1+'4. Committed capital'!$B$4)+O12</f>
        <v>12.6605091866817</v>
      </c>
      <c r="AI12" s="29" t="n">
        <f aca="false">AI11*(1+'4. Committed capital'!$B$4)-Q12</f>
        <v>8.04242489568001</v>
      </c>
      <c r="AJ12" s="29" t="n">
        <f aca="false">AJ11*(1+'4. Committed capital'!$B$4)+R12</f>
        <v>13.0434782608696</v>
      </c>
      <c r="AK12" s="29" t="n">
        <f aca="false">AK11*(1+'4. Committed capital'!$B$4)-T12</f>
        <v>8.04242489568001</v>
      </c>
      <c r="AL12" s="29" t="n">
        <f aca="false">AL11*(1+'4. Committed capital'!$B$4)+U12</f>
        <v>14.3478260869565</v>
      </c>
      <c r="AM12" s="29" t="n">
        <f aca="false">AM11*(1+'4. Committed capital'!$B$4)-W12</f>
        <v>8.04242489568001</v>
      </c>
      <c r="AN12" s="29" t="n">
        <f aca="false">AN11*(1+'4. Committed capital'!$B$4)+X12</f>
        <v>15</v>
      </c>
      <c r="AO12" s="29" t="n">
        <f aca="false">AO11*(1+'4. Committed capital'!$B$4)-Z12</f>
        <v>8.04242489568001</v>
      </c>
      <c r="AP12" s="29" t="n">
        <f aca="false">AP11*(1+'4. Committed capital'!$B$4)+AA12</f>
        <v>16.304347826087</v>
      </c>
    </row>
    <row r="13" customFormat="false" ht="15" hidden="false" customHeight="false" outlineLevel="0" collapsed="false">
      <c r="A13" s="27" t="n">
        <v>2.3</v>
      </c>
      <c r="B13" s="12" t="n">
        <f aca="false">IRR(Y8:Y18)</f>
        <v>0.169857623767602</v>
      </c>
      <c r="C13" s="12" t="n">
        <f aca="false">(D13/'3. Drawdown fund'!B3)^(1/10)-1</f>
        <v>0.104201283295026</v>
      </c>
      <c r="D13" s="21" t="n">
        <f aca="false">AM18+AN18</f>
        <v>269.452660083787</v>
      </c>
      <c r="E13" s="28" t="str">
        <f aca="false">IF(D13&gt;$B$4,"yes","NO")</f>
        <v>yes</v>
      </c>
      <c r="H13" s="29" t="n">
        <f aca="false">'3. Drawdown fund'!B11</f>
        <v>0</v>
      </c>
      <c r="I13" s="29" t="n">
        <f aca="false">'3. Drawdown fund'!C11*$A$8/'3. Drawdown fund'!$D$19</f>
        <v>20.3478260869565</v>
      </c>
      <c r="J13" s="29" t="n">
        <f aca="false">I13-H13</f>
        <v>20.3478260869565</v>
      </c>
      <c r="K13" s="29" t="n">
        <f aca="false">'3. Drawdown fund'!B11</f>
        <v>0</v>
      </c>
      <c r="L13" s="29" t="n">
        <f aca="false">'3. Drawdown fund'!C11*$A$9/'3. Drawdown fund'!$D$19</f>
        <v>21.4782608695652</v>
      </c>
      <c r="M13" s="29" t="n">
        <f aca="false">L13-K13</f>
        <v>21.4782608695652</v>
      </c>
      <c r="N13" s="29" t="n">
        <f aca="false">'3. Drawdown fund'!B11</f>
        <v>0</v>
      </c>
      <c r="O13" s="29" t="n">
        <f aca="false">'3. Drawdown fund'!C11*$A$10/'3. Drawdown fund'!$D$19</f>
        <v>21.9448825902483</v>
      </c>
      <c r="P13" s="29" t="n">
        <f aca="false">O13-N13</f>
        <v>21.9448825902483</v>
      </c>
      <c r="Q13" s="29" t="n">
        <f aca="false">'3. Drawdown fund'!B11</f>
        <v>0</v>
      </c>
      <c r="R13" s="29" t="n">
        <f aca="false">'3. Drawdown fund'!C11*$A$11/'3. Drawdown fund'!$D$19</f>
        <v>22.6086956521739</v>
      </c>
      <c r="S13" s="29" t="n">
        <f aca="false">R13-Q13</f>
        <v>22.6086956521739</v>
      </c>
      <c r="T13" s="29" t="n">
        <f aca="false">'3. Drawdown fund'!B11</f>
        <v>0</v>
      </c>
      <c r="U13" s="29" t="n">
        <f aca="false">'3. Drawdown fund'!C11*$A$12/'3. Drawdown fund'!$D$19</f>
        <v>24.8695652173913</v>
      </c>
      <c r="V13" s="29" t="n">
        <f aca="false">U13-T13</f>
        <v>24.8695652173913</v>
      </c>
      <c r="W13" s="29" t="n">
        <f aca="false">'3. Drawdown fund'!B11</f>
        <v>0</v>
      </c>
      <c r="X13" s="29" t="n">
        <f aca="false">'3. Drawdown fund'!C11*$A$13/'3. Drawdown fund'!$D$19</f>
        <v>26</v>
      </c>
      <c r="Y13" s="29" t="n">
        <f aca="false">X13-W13</f>
        <v>26</v>
      </c>
      <c r="Z13" s="29" t="n">
        <f aca="false">'3. Drawdown fund'!B11</f>
        <v>0</v>
      </c>
      <c r="AA13" s="29" t="n">
        <f aca="false">'3. Drawdown fund'!C11*$A$14/'3. Drawdown fund'!$D$19</f>
        <v>28.2608695652174</v>
      </c>
      <c r="AB13" s="29" t="n">
        <f aca="false">AA13-Z13</f>
        <v>28.2608695652174</v>
      </c>
      <c r="AC13" s="29" t="n">
        <f aca="false">AC12*(1+'4. Committed capital'!$B$4)-H13</f>
        <v>8.38020674129857</v>
      </c>
      <c r="AD13" s="29" t="n">
        <f aca="false">AD12*(1+'4. Committed capital'!$B$4)+I13</f>
        <v>32.58</v>
      </c>
      <c r="AE13" s="29" t="n">
        <f aca="false">AE12*(1+'4. Committed capital'!$B$4)-K13</f>
        <v>8.38020674129857</v>
      </c>
      <c r="AF13" s="29" t="n">
        <f aca="false">AF12*(1+'4. Committed capital'!$B$4)+L13</f>
        <v>34.39</v>
      </c>
      <c r="AG13" s="29" t="n">
        <f aca="false">AG12*(1+'4. Committed capital'!$B$4)-N13</f>
        <v>8.38020674129857</v>
      </c>
      <c r="AH13" s="29" t="n">
        <f aca="false">AH12*(1+'4. Committed capital'!$B$4)+O13</f>
        <v>35.1371331627706</v>
      </c>
      <c r="AI13" s="29" t="n">
        <f aca="false">AI12*(1+'4. Committed capital'!$B$4)-Q13</f>
        <v>8.38020674129857</v>
      </c>
      <c r="AJ13" s="29" t="n">
        <f aca="false">AJ12*(1+'4. Committed capital'!$B$4)+R13</f>
        <v>36.2</v>
      </c>
      <c r="AK13" s="29" t="n">
        <f aca="false">AK12*(1+'4. Committed capital'!$B$4)-T13</f>
        <v>8.38020674129857</v>
      </c>
      <c r="AL13" s="29" t="n">
        <f aca="false">AL12*(1+'4. Committed capital'!$B$4)+U13</f>
        <v>39.82</v>
      </c>
      <c r="AM13" s="29" t="n">
        <f aca="false">AM12*(1+'4. Committed capital'!$B$4)-W13</f>
        <v>8.38020674129857</v>
      </c>
      <c r="AN13" s="29" t="n">
        <f aca="false">AN12*(1+'4. Committed capital'!$B$4)+X13</f>
        <v>41.63</v>
      </c>
      <c r="AO13" s="29" t="n">
        <f aca="false">AO12*(1+'4. Committed capital'!$B$4)-Z13</f>
        <v>8.38020674129857</v>
      </c>
      <c r="AP13" s="29" t="n">
        <f aca="false">AP12*(1+'4. Committed capital'!$B$4)+AA13</f>
        <v>45.25</v>
      </c>
    </row>
    <row r="14" customFormat="false" ht="15" hidden="false" customHeight="false" outlineLevel="0" collapsed="false">
      <c r="A14" s="27" t="n">
        <v>2.5</v>
      </c>
      <c r="B14" s="12" t="n">
        <f aca="false">IRR(AB8:AB18)</f>
        <v>0.188767002052485</v>
      </c>
      <c r="C14" s="12" t="n">
        <f aca="false">(D14/'3. Drawdown fund'!B3)^(1/10)-1</f>
        <v>0.113106007424576</v>
      </c>
      <c r="D14" s="21" t="n">
        <f aca="false">AO18+AP18</f>
        <v>291.988176855425</v>
      </c>
      <c r="E14" s="28" t="str">
        <f aca="false">IF(D14&gt;$B$4,"yes","NO")</f>
        <v>yes</v>
      </c>
      <c r="H14" s="29" t="n">
        <f aca="false">'3. Drawdown fund'!B12</f>
        <v>0</v>
      </c>
      <c r="I14" s="29" t="n">
        <f aca="false">'3. Drawdown fund'!C12*$A$8/'3. Drawdown fund'!$D$19</f>
        <v>32.8695652173913</v>
      </c>
      <c r="J14" s="29" t="n">
        <f aca="false">I14-H14</f>
        <v>32.8695652173913</v>
      </c>
      <c r="K14" s="29" t="n">
        <f aca="false">'3. Drawdown fund'!B12</f>
        <v>0</v>
      </c>
      <c r="L14" s="29" t="n">
        <f aca="false">'3. Drawdown fund'!C12*$A$9/'3. Drawdown fund'!$D$19</f>
        <v>34.6956521739131</v>
      </c>
      <c r="M14" s="29" t="n">
        <f aca="false">L14-K14</f>
        <v>34.6956521739131</v>
      </c>
      <c r="N14" s="29" t="n">
        <f aca="false">'3. Drawdown fund'!B12</f>
        <v>0</v>
      </c>
      <c r="O14" s="29" t="n">
        <f aca="false">'3. Drawdown fund'!C12*$A$10/'3. Drawdown fund'!$D$19</f>
        <v>35.4494257227088</v>
      </c>
      <c r="P14" s="29" t="n">
        <f aca="false">O14-N14</f>
        <v>35.4494257227088</v>
      </c>
      <c r="Q14" s="29" t="n">
        <f aca="false">'3. Drawdown fund'!B12</f>
        <v>0</v>
      </c>
      <c r="R14" s="29" t="n">
        <f aca="false">'3. Drawdown fund'!C12*$A$11/'3. Drawdown fund'!$D$19</f>
        <v>36.5217391304348</v>
      </c>
      <c r="S14" s="29" t="n">
        <f aca="false">R14-Q14</f>
        <v>36.5217391304348</v>
      </c>
      <c r="T14" s="29" t="n">
        <f aca="false">'3. Drawdown fund'!B12</f>
        <v>0</v>
      </c>
      <c r="U14" s="29" t="n">
        <f aca="false">'3. Drawdown fund'!C12*$A$12/'3. Drawdown fund'!$D$19</f>
        <v>40.1739130434783</v>
      </c>
      <c r="V14" s="29" t="n">
        <f aca="false">U14-T14</f>
        <v>40.1739130434783</v>
      </c>
      <c r="W14" s="29" t="n">
        <f aca="false">'3. Drawdown fund'!B12</f>
        <v>0</v>
      </c>
      <c r="X14" s="29" t="n">
        <f aca="false">'3. Drawdown fund'!C12*$A$13/'3. Drawdown fund'!$D$19</f>
        <v>42</v>
      </c>
      <c r="Y14" s="29" t="n">
        <f aca="false">X14-W14</f>
        <v>42</v>
      </c>
      <c r="Z14" s="29" t="n">
        <f aca="false">'3. Drawdown fund'!B12</f>
        <v>0</v>
      </c>
      <c r="AA14" s="29" t="n">
        <f aca="false">'3. Drawdown fund'!C12*$A$14/'3. Drawdown fund'!$D$19</f>
        <v>45.6521739130435</v>
      </c>
      <c r="AB14" s="29" t="n">
        <f aca="false">AA14-Z14</f>
        <v>45.6521739130435</v>
      </c>
      <c r="AC14" s="29" t="n">
        <f aca="false">AC13*(1+'4. Committed capital'!$B$4)-H14</f>
        <v>8.73217542443311</v>
      </c>
      <c r="AD14" s="29" t="n">
        <f aca="false">AD13*(1+'4. Committed capital'!$B$4)+I14</f>
        <v>66.8179252173913</v>
      </c>
      <c r="AE14" s="29" t="n">
        <f aca="false">AE13*(1+'4. Committed capital'!$B$4)-K14</f>
        <v>8.73217542443311</v>
      </c>
      <c r="AF14" s="29" t="n">
        <f aca="false">AF13*(1+'4. Committed capital'!$B$4)+L14</f>
        <v>70.530032173913</v>
      </c>
      <c r="AG14" s="29" t="n">
        <f aca="false">AG13*(1+'4. Committed capital'!$B$4)-N14</f>
        <v>8.73217542443311</v>
      </c>
      <c r="AH14" s="29" t="n">
        <f aca="false">AH13*(1+'4. Committed capital'!$B$4)+O14</f>
        <v>72.0623184783158</v>
      </c>
      <c r="AI14" s="29" t="n">
        <f aca="false">AI13*(1+'4. Committed capital'!$B$4)-Q14</f>
        <v>8.73217542443311</v>
      </c>
      <c r="AJ14" s="29" t="n">
        <f aca="false">AJ13*(1+'4. Committed capital'!$B$4)+R14</f>
        <v>74.2421391304348</v>
      </c>
      <c r="AK14" s="29" t="n">
        <f aca="false">AK13*(1+'4. Committed capital'!$B$4)-T14</f>
        <v>8.73217542443311</v>
      </c>
      <c r="AL14" s="29" t="n">
        <f aca="false">AL13*(1+'4. Committed capital'!$B$4)+U14</f>
        <v>81.6663530434783</v>
      </c>
      <c r="AM14" s="29" t="n">
        <f aca="false">AM13*(1+'4. Committed capital'!$B$4)-W14</f>
        <v>8.73217542443311</v>
      </c>
      <c r="AN14" s="29" t="n">
        <f aca="false">AN13*(1+'4. Committed capital'!$B$4)+X14</f>
        <v>85.37846</v>
      </c>
      <c r="AO14" s="29" t="n">
        <f aca="false">AO13*(1+'4. Committed capital'!$B$4)-Z14</f>
        <v>8.73217542443311</v>
      </c>
      <c r="AP14" s="29" t="n">
        <f aca="false">AP13*(1+'4. Committed capital'!$B$4)+AA14</f>
        <v>92.8026739130435</v>
      </c>
    </row>
    <row r="15" customFormat="false" ht="15" hidden="false" customHeight="false" outlineLevel="0" collapsed="false">
      <c r="H15" s="29" t="n">
        <f aca="false">'3. Drawdown fund'!B13</f>
        <v>0</v>
      </c>
      <c r="I15" s="29" t="n">
        <f aca="false">'3. Drawdown fund'!C13*$A$8/'3. Drawdown fund'!$D$19</f>
        <v>37.5652173913044</v>
      </c>
      <c r="J15" s="29" t="n">
        <f aca="false">I15-H15</f>
        <v>37.5652173913044</v>
      </c>
      <c r="K15" s="29" t="n">
        <f aca="false">'3. Drawdown fund'!B13</f>
        <v>0</v>
      </c>
      <c r="L15" s="29" t="n">
        <f aca="false">'3. Drawdown fund'!C13*$A$9/'3. Drawdown fund'!$D$19</f>
        <v>39.6521739130435</v>
      </c>
      <c r="M15" s="29" t="n">
        <f aca="false">L15-K15</f>
        <v>39.6521739130435</v>
      </c>
      <c r="N15" s="29" t="n">
        <f aca="false">'3. Drawdown fund'!B13</f>
        <v>0</v>
      </c>
      <c r="O15" s="29" t="n">
        <f aca="false">'3. Drawdown fund'!C13*$A$10/'3. Drawdown fund'!$D$19</f>
        <v>40.5136293973815</v>
      </c>
      <c r="P15" s="29" t="n">
        <f aca="false">O15-N15</f>
        <v>40.5136293973815</v>
      </c>
      <c r="Q15" s="29" t="n">
        <f aca="false">'3. Drawdown fund'!B13</f>
        <v>0</v>
      </c>
      <c r="R15" s="29" t="n">
        <f aca="false">'3. Drawdown fund'!C13*$A$11/'3. Drawdown fund'!$D$19</f>
        <v>41.7391304347826</v>
      </c>
      <c r="S15" s="29" t="n">
        <f aca="false">R15-Q15</f>
        <v>41.7391304347826</v>
      </c>
      <c r="T15" s="29" t="n">
        <f aca="false">'3. Drawdown fund'!B13</f>
        <v>0</v>
      </c>
      <c r="U15" s="29" t="n">
        <f aca="false">'3. Drawdown fund'!C13*$A$12/'3. Drawdown fund'!$D$19</f>
        <v>45.9130434782609</v>
      </c>
      <c r="V15" s="29" t="n">
        <f aca="false">U15-T15</f>
        <v>45.9130434782609</v>
      </c>
      <c r="W15" s="29" t="n">
        <f aca="false">'3. Drawdown fund'!B13</f>
        <v>0</v>
      </c>
      <c r="X15" s="29" t="n">
        <f aca="false">'3. Drawdown fund'!C13*$A$13/'3. Drawdown fund'!$D$19</f>
        <v>48</v>
      </c>
      <c r="Y15" s="29" t="n">
        <f aca="false">X15-W15</f>
        <v>48</v>
      </c>
      <c r="Z15" s="29" t="n">
        <f aca="false">'3. Drawdown fund'!B13</f>
        <v>0</v>
      </c>
      <c r="AA15" s="29" t="n">
        <f aca="false">'3. Drawdown fund'!C13*$A$14/'3. Drawdown fund'!$D$19</f>
        <v>52.1739130434783</v>
      </c>
      <c r="AB15" s="29" t="n">
        <f aca="false">AA15-Z15</f>
        <v>52.1739130434783</v>
      </c>
      <c r="AC15" s="29" t="n">
        <f aca="false">AC14*(1+'4. Committed capital'!$B$4)-H15</f>
        <v>9.0989267922593</v>
      </c>
      <c r="AD15" s="29" t="n">
        <f aca="false">AD14*(1+'4. Committed capital'!$B$4)+I15</f>
        <v>107.189495467826</v>
      </c>
      <c r="AE15" s="29" t="n">
        <f aca="false">AE14*(1+'4. Committed capital'!$B$4)-K15</f>
        <v>9.0989267922593</v>
      </c>
      <c r="AF15" s="29" t="n">
        <f aca="false">AF14*(1+'4. Committed capital'!$B$4)+L15</f>
        <v>113.144467438261</v>
      </c>
      <c r="AG15" s="29" t="n">
        <f aca="false">AG14*(1+'4. Committed capital'!$B$4)-N15</f>
        <v>9.0989267922593</v>
      </c>
      <c r="AH15" s="29" t="n">
        <f aca="false">AH14*(1+'4. Committed capital'!$B$4)+O15</f>
        <v>115.602565251787</v>
      </c>
      <c r="AI15" s="29" t="n">
        <f aca="false">AI14*(1+'4. Committed capital'!$B$4)-Q15</f>
        <v>9.0989267922593</v>
      </c>
      <c r="AJ15" s="29" t="n">
        <f aca="false">AJ14*(1+'4. Committed capital'!$B$4)+R15</f>
        <v>119.099439408696</v>
      </c>
      <c r="AK15" s="29" t="n">
        <f aca="false">AK14*(1+'4. Committed capital'!$B$4)-T15</f>
        <v>9.0989267922593</v>
      </c>
      <c r="AL15" s="29" t="n">
        <f aca="false">AL14*(1+'4. Committed capital'!$B$4)+U15</f>
        <v>131.009383349565</v>
      </c>
      <c r="AM15" s="29" t="n">
        <f aca="false">AM14*(1+'4. Committed capital'!$B$4)-W15</f>
        <v>9.0989267922593</v>
      </c>
      <c r="AN15" s="29" t="n">
        <f aca="false">AN14*(1+'4. Committed capital'!$B$4)+X15</f>
        <v>136.96435532</v>
      </c>
      <c r="AO15" s="29" t="n">
        <f aca="false">AO14*(1+'4. Committed capital'!$B$4)-Z15</f>
        <v>9.0989267922593</v>
      </c>
      <c r="AP15" s="29" t="n">
        <f aca="false">AP14*(1+'4. Committed capital'!$B$4)+AA15</f>
        <v>148.87429926087</v>
      </c>
    </row>
    <row r="16" customFormat="false" ht="15" hidden="false" customHeight="false" outlineLevel="0" collapsed="false">
      <c r="H16" s="29" t="n">
        <f aca="false">'3. Drawdown fund'!B14</f>
        <v>0</v>
      </c>
      <c r="I16" s="29" t="n">
        <f aca="false">'3. Drawdown fund'!C14*$A$8/'3. Drawdown fund'!$D$19</f>
        <v>34.4347826086957</v>
      </c>
      <c r="J16" s="29" t="n">
        <f aca="false">I16-H16</f>
        <v>34.4347826086957</v>
      </c>
      <c r="K16" s="29" t="n">
        <f aca="false">'3. Drawdown fund'!B14</f>
        <v>0</v>
      </c>
      <c r="L16" s="29" t="n">
        <f aca="false">'3. Drawdown fund'!C14*$A$9/'3. Drawdown fund'!$D$19</f>
        <v>36.3478260869565</v>
      </c>
      <c r="M16" s="29" t="n">
        <f aca="false">L16-K16</f>
        <v>36.3478260869565</v>
      </c>
      <c r="N16" s="29" t="n">
        <f aca="false">'3. Drawdown fund'!B14</f>
        <v>0</v>
      </c>
      <c r="O16" s="29" t="n">
        <f aca="false">'3. Drawdown fund'!C14*$A$10/'3. Drawdown fund'!$D$19</f>
        <v>37.1374936142664</v>
      </c>
      <c r="P16" s="29" t="n">
        <f aca="false">O16-N16</f>
        <v>37.1374936142664</v>
      </c>
      <c r="Q16" s="29" t="n">
        <f aca="false">'3. Drawdown fund'!B14</f>
        <v>0</v>
      </c>
      <c r="R16" s="29" t="n">
        <f aca="false">'3. Drawdown fund'!C14*$A$11/'3. Drawdown fund'!$D$19</f>
        <v>38.2608695652174</v>
      </c>
      <c r="S16" s="29" t="n">
        <f aca="false">R16-Q16</f>
        <v>38.2608695652174</v>
      </c>
      <c r="T16" s="29" t="n">
        <f aca="false">'3. Drawdown fund'!B14</f>
        <v>0</v>
      </c>
      <c r="U16" s="29" t="n">
        <f aca="false">'3. Drawdown fund'!C14*$A$12/'3. Drawdown fund'!$D$19</f>
        <v>42.0869565217391</v>
      </c>
      <c r="V16" s="29" t="n">
        <f aca="false">U16-T16</f>
        <v>42.0869565217391</v>
      </c>
      <c r="W16" s="29" t="n">
        <f aca="false">'3. Drawdown fund'!B14</f>
        <v>0</v>
      </c>
      <c r="X16" s="29" t="n">
        <f aca="false">'3. Drawdown fund'!C14*$A$13/'3. Drawdown fund'!$D$19</f>
        <v>44</v>
      </c>
      <c r="Y16" s="29" t="n">
        <f aca="false">X16-W16</f>
        <v>44</v>
      </c>
      <c r="Z16" s="29" t="n">
        <f aca="false">'3. Drawdown fund'!B14</f>
        <v>0</v>
      </c>
      <c r="AA16" s="29" t="n">
        <f aca="false">'3. Drawdown fund'!C14*$A$14/'3. Drawdown fund'!$D$19</f>
        <v>47.8260869565217</v>
      </c>
      <c r="AB16" s="29" t="n">
        <f aca="false">AA16-Z16</f>
        <v>47.8260869565217</v>
      </c>
      <c r="AC16" s="29" t="n">
        <f aca="false">AC15*(1+'4. Committed capital'!$B$4)-H16</f>
        <v>9.48108171753419</v>
      </c>
      <c r="AD16" s="29" t="n">
        <f aca="false">AD15*(1+'4. Committed capital'!$B$4)+I16</f>
        <v>146.12623688617</v>
      </c>
      <c r="AE16" s="29" t="n">
        <f aca="false">AE15*(1+'4. Committed capital'!$B$4)-K16</f>
        <v>9.48108171753419</v>
      </c>
      <c r="AF16" s="29" t="n">
        <f aca="false">AF15*(1+'4. Committed capital'!$B$4)+L16</f>
        <v>154.244361157624</v>
      </c>
      <c r="AG16" s="29" t="n">
        <f aca="false">AG15*(1+'4. Committed capital'!$B$4)-N16</f>
        <v>9.48108171753419</v>
      </c>
      <c r="AH16" s="29" t="n">
        <f aca="false">AH15*(1+'4. Committed capital'!$B$4)+O16</f>
        <v>157.595366606628</v>
      </c>
      <c r="AI16" s="29" t="n">
        <f aca="false">AI15*(1+'4. Committed capital'!$B$4)-Q16</f>
        <v>9.48108171753419</v>
      </c>
      <c r="AJ16" s="29" t="n">
        <f aca="false">AJ15*(1+'4. Committed capital'!$B$4)+R16</f>
        <v>162.362485429078</v>
      </c>
      <c r="AK16" s="29" t="n">
        <f aca="false">AK15*(1+'4. Committed capital'!$B$4)-T16</f>
        <v>9.48108171753419</v>
      </c>
      <c r="AL16" s="29" t="n">
        <f aca="false">AL15*(1+'4. Committed capital'!$B$4)+U16</f>
        <v>178.598733971986</v>
      </c>
      <c r="AM16" s="29" t="n">
        <f aca="false">AM15*(1+'4. Committed capital'!$B$4)-W16</f>
        <v>9.48108171753419</v>
      </c>
      <c r="AN16" s="29" t="n">
        <f aca="false">AN15*(1+'4. Committed capital'!$B$4)+X16</f>
        <v>186.71685824344</v>
      </c>
      <c r="AO16" s="29" t="n">
        <f aca="false">AO15*(1+'4. Committed capital'!$B$4)-Z16</f>
        <v>9.48108171753419</v>
      </c>
      <c r="AP16" s="29" t="n">
        <f aca="false">AP15*(1+'4. Committed capital'!$B$4)+AA16</f>
        <v>202.953106786348</v>
      </c>
    </row>
    <row r="17" customFormat="false" ht="15" hidden="false" customHeight="false" outlineLevel="0" collapsed="false">
      <c r="A17" s="8" t="s">
        <v>105</v>
      </c>
      <c r="H17" s="29" t="n">
        <f aca="false">'3. Drawdown fund'!B15</f>
        <v>0</v>
      </c>
      <c r="I17" s="29" t="n">
        <f aca="false">'3. Drawdown fund'!C15*$A$8/'3. Drawdown fund'!$D$19</f>
        <v>26.6086956521739</v>
      </c>
      <c r="J17" s="29" t="n">
        <f aca="false">I17-H17</f>
        <v>26.6086956521739</v>
      </c>
      <c r="K17" s="29" t="n">
        <f aca="false">'3. Drawdown fund'!B15</f>
        <v>0</v>
      </c>
      <c r="L17" s="29" t="n">
        <f aca="false">'3. Drawdown fund'!C15*$A$9/'3. Drawdown fund'!$D$19</f>
        <v>28.0869565217391</v>
      </c>
      <c r="M17" s="29" t="n">
        <f aca="false">L17-K17</f>
        <v>28.0869565217391</v>
      </c>
      <c r="N17" s="29" t="n">
        <f aca="false">'3. Drawdown fund'!B15</f>
        <v>0</v>
      </c>
      <c r="O17" s="29" t="n">
        <f aca="false">'3. Drawdown fund'!C15*$A$10/'3. Drawdown fund'!$D$19</f>
        <v>28.6971541564785</v>
      </c>
      <c r="P17" s="29" t="n">
        <f aca="false">O17-N17</f>
        <v>28.6971541564785</v>
      </c>
      <c r="Q17" s="29" t="n">
        <f aca="false">'3. Drawdown fund'!B15</f>
        <v>0</v>
      </c>
      <c r="R17" s="29" t="n">
        <f aca="false">'3. Drawdown fund'!C15*$A$11/'3. Drawdown fund'!$D$19</f>
        <v>29.5652173913044</v>
      </c>
      <c r="S17" s="29" t="n">
        <f aca="false">R17-Q17</f>
        <v>29.5652173913044</v>
      </c>
      <c r="T17" s="29" t="n">
        <f aca="false">'3. Drawdown fund'!B15</f>
        <v>0</v>
      </c>
      <c r="U17" s="29" t="n">
        <f aca="false">'3. Drawdown fund'!C15*$A$12/'3. Drawdown fund'!$D$19</f>
        <v>32.5217391304348</v>
      </c>
      <c r="V17" s="29" t="n">
        <f aca="false">U17-T17</f>
        <v>32.5217391304348</v>
      </c>
      <c r="W17" s="29" t="n">
        <f aca="false">'3. Drawdown fund'!B15</f>
        <v>0</v>
      </c>
      <c r="X17" s="29" t="n">
        <f aca="false">'3. Drawdown fund'!C15*$A$13/'3. Drawdown fund'!$D$19</f>
        <v>34</v>
      </c>
      <c r="Y17" s="29" t="n">
        <f aca="false">X17-W17</f>
        <v>34</v>
      </c>
      <c r="Z17" s="29" t="n">
        <f aca="false">'3. Drawdown fund'!B15</f>
        <v>0</v>
      </c>
      <c r="AA17" s="29" t="n">
        <f aca="false">'3. Drawdown fund'!C15*$A$14/'3. Drawdown fund'!$D$19</f>
        <v>36.9565217391304</v>
      </c>
      <c r="AB17" s="29" t="n">
        <f aca="false">AA17-Z17</f>
        <v>36.9565217391304</v>
      </c>
      <c r="AC17" s="29" t="n">
        <f aca="false">AC16*(1+'4. Committed capital'!$B$4)-H17</f>
        <v>9.87928714967063</v>
      </c>
      <c r="AD17" s="29" t="n">
        <f aca="false">AD16*(1+'4. Committed capital'!$B$4)+I17</f>
        <v>178.872234487564</v>
      </c>
      <c r="AE17" s="29" t="n">
        <f aca="false">AE16*(1+'4. Committed capital'!$B$4)-K17</f>
        <v>9.87928714967063</v>
      </c>
      <c r="AF17" s="29" t="n">
        <f aca="false">AF16*(1+'4. Committed capital'!$B$4)+L17</f>
        <v>188.809580847984</v>
      </c>
      <c r="AG17" s="29" t="n">
        <f aca="false">AG16*(1+'4. Committed capital'!$B$4)-N17</f>
        <v>9.87928714967063</v>
      </c>
      <c r="AH17" s="29" t="n">
        <f aca="false">AH16*(1+'4. Committed capital'!$B$4)+O17</f>
        <v>192.911526160585</v>
      </c>
      <c r="AI17" s="29" t="n">
        <f aca="false">AI16*(1+'4. Committed capital'!$B$4)-Q17</f>
        <v>9.87928714967063</v>
      </c>
      <c r="AJ17" s="29" t="n">
        <f aca="false">AJ16*(1+'4. Committed capital'!$B$4)+R17</f>
        <v>198.746927208404</v>
      </c>
      <c r="AK17" s="29" t="n">
        <f aca="false">AK16*(1+'4. Committed capital'!$B$4)-T17</f>
        <v>9.87928714967063</v>
      </c>
      <c r="AL17" s="29" t="n">
        <f aca="false">AL16*(1+'4. Committed capital'!$B$4)+U17</f>
        <v>218.621619929244</v>
      </c>
      <c r="AM17" s="29" t="n">
        <f aca="false">AM16*(1+'4. Committed capital'!$B$4)-W17</f>
        <v>9.87928714967063</v>
      </c>
      <c r="AN17" s="29" t="n">
        <f aca="false">AN16*(1+'4. Committed capital'!$B$4)+X17</f>
        <v>228.558966289665</v>
      </c>
      <c r="AO17" s="29" t="n">
        <f aca="false">AO16*(1+'4. Committed capital'!$B$4)-Z17</f>
        <v>9.87928714967063</v>
      </c>
      <c r="AP17" s="29" t="n">
        <f aca="false">AP16*(1+'4. Committed capital'!$B$4)+AA17</f>
        <v>248.433659010505</v>
      </c>
    </row>
    <row r="18" customFormat="false" ht="28.35" hidden="false" customHeight="false" outlineLevel="0" collapsed="false">
      <c r="A18" s="13" t="s">
        <v>106</v>
      </c>
      <c r="B18" s="13"/>
      <c r="C18" s="13"/>
      <c r="D18" s="25" t="n">
        <f aca="false">A10</f>
        <v>1.9412780752912</v>
      </c>
      <c r="F18" s="11" t="s">
        <v>107</v>
      </c>
      <c r="H18" s="29" t="n">
        <f aca="false">'3. Drawdown fund'!B16</f>
        <v>0</v>
      </c>
      <c r="I18" s="29" t="n">
        <f aca="false">'3. Drawdown fund'!C16*$A$8/'3. Drawdown fund'!$D$19</f>
        <v>16.4347826086957</v>
      </c>
      <c r="J18" s="29" t="n">
        <f aca="false">I18-H18</f>
        <v>16.4347826086957</v>
      </c>
      <c r="K18" s="29" t="n">
        <f aca="false">'3. Drawdown fund'!B16</f>
        <v>0</v>
      </c>
      <c r="L18" s="29" t="n">
        <f aca="false">'3. Drawdown fund'!C16*$A$9/'3. Drawdown fund'!$D$19</f>
        <v>17.3478260869565</v>
      </c>
      <c r="M18" s="29" t="n">
        <f aca="false">L18-K18</f>
        <v>17.3478260869565</v>
      </c>
      <c r="N18" s="29" t="n">
        <f aca="false">'3. Drawdown fund'!B16</f>
        <v>0</v>
      </c>
      <c r="O18" s="29" t="n">
        <f aca="false">'3. Drawdown fund'!C16*$A$10/'3. Drawdown fund'!$D$19</f>
        <v>17.7247128613544</v>
      </c>
      <c r="P18" s="29" t="n">
        <f aca="false">O18-N18</f>
        <v>17.7247128613544</v>
      </c>
      <c r="Q18" s="29" t="n">
        <f aca="false">'3. Drawdown fund'!B16</f>
        <v>0</v>
      </c>
      <c r="R18" s="29" t="n">
        <f aca="false">'3. Drawdown fund'!C16*$A$11/'3. Drawdown fund'!$D$19</f>
        <v>18.2608695652174</v>
      </c>
      <c r="S18" s="29" t="n">
        <f aca="false">R18-Q18</f>
        <v>18.2608695652174</v>
      </c>
      <c r="T18" s="29" t="n">
        <f aca="false">'3. Drawdown fund'!B16</f>
        <v>0</v>
      </c>
      <c r="U18" s="29" t="n">
        <f aca="false">'3. Drawdown fund'!C16*$A$12/'3. Drawdown fund'!$D$19</f>
        <v>20.0869565217391</v>
      </c>
      <c r="V18" s="29" t="n">
        <f aca="false">U18-T18</f>
        <v>20.0869565217391</v>
      </c>
      <c r="W18" s="29" t="n">
        <f aca="false">'3. Drawdown fund'!B16</f>
        <v>0</v>
      </c>
      <c r="X18" s="29" t="n">
        <f aca="false">'3. Drawdown fund'!C16*$A$13/'3. Drawdown fund'!$D$19</f>
        <v>21</v>
      </c>
      <c r="Y18" s="29" t="n">
        <f aca="false">X18-W18</f>
        <v>21</v>
      </c>
      <c r="Z18" s="29" t="n">
        <f aca="false">'3. Drawdown fund'!B16</f>
        <v>0</v>
      </c>
      <c r="AA18" s="29" t="n">
        <f aca="false">'3. Drawdown fund'!C16*$A$14/'3. Drawdown fund'!$D$19</f>
        <v>22.8260869565217</v>
      </c>
      <c r="AB18" s="29" t="n">
        <f aca="false">AA18-Z18</f>
        <v>22.8260869565217</v>
      </c>
      <c r="AC18" s="29" t="n">
        <f aca="false">AC17*(1+'4. Committed capital'!$B$4)-H18</f>
        <v>10.2942172099568</v>
      </c>
      <c r="AD18" s="29" t="n">
        <f aca="false">AD17*(1+'4. Committed capital'!$B$4)+I18</f>
        <v>202.819650944737</v>
      </c>
      <c r="AE18" s="29" t="n">
        <f aca="false">AE17*(1+'4. Committed capital'!$B$4)-K18</f>
        <v>10.2942172099568</v>
      </c>
      <c r="AF18" s="29" t="n">
        <f aca="false">AF17*(1+'4. Committed capital'!$B$4)+L18</f>
        <v>214.087409330556</v>
      </c>
      <c r="AG18" s="29" t="n">
        <f aca="false">AG17*(1+'4. Committed capital'!$B$4)-N18</f>
        <v>10.2942172099568</v>
      </c>
      <c r="AH18" s="29" t="n">
        <f aca="false">AH17*(1+'4. Committed capital'!$B$4)+O18</f>
        <v>218.738523120684</v>
      </c>
      <c r="AI18" s="29" t="n">
        <f aca="false">AI17*(1+'4. Committed capital'!$B$4)-Q18</f>
        <v>10.2942172099568</v>
      </c>
      <c r="AJ18" s="29" t="n">
        <f aca="false">AJ17*(1+'4. Committed capital'!$B$4)+R18</f>
        <v>225.355167716374</v>
      </c>
      <c r="AK18" s="29" t="n">
        <f aca="false">AK17*(1+'4. Committed capital'!$B$4)-T18</f>
        <v>10.2942172099568</v>
      </c>
      <c r="AL18" s="29" t="n">
        <f aca="false">AL17*(1+'4. Committed capital'!$B$4)+U18</f>
        <v>247.890684488012</v>
      </c>
      <c r="AM18" s="29" t="n">
        <f aca="false">AM17*(1+'4. Committed capital'!$B$4)-W18</f>
        <v>10.2942172099568</v>
      </c>
      <c r="AN18" s="29" t="n">
        <f aca="false">AN17*(1+'4. Committed capital'!$B$4)+X18</f>
        <v>259.15844287383</v>
      </c>
      <c r="AO18" s="29" t="n">
        <f aca="false">AO17*(1+'4. Committed capital'!$B$4)-Z18</f>
        <v>10.2942172099568</v>
      </c>
      <c r="AP18" s="29" t="n">
        <f aca="false">AP17*(1+'4. Committed capital'!$B$4)+AA18</f>
        <v>281.693959645468</v>
      </c>
    </row>
    <row r="19" customFormat="false" ht="15" hidden="false" customHeight="false" outlineLevel="0" collapsed="false">
      <c r="A19" s="13" t="s">
        <v>108</v>
      </c>
      <c r="B19" s="13"/>
      <c r="C19" s="13"/>
      <c r="D19" s="14" t="n">
        <f aca="false">B10</f>
        <v>0.132543859997493</v>
      </c>
      <c r="F19" s="11"/>
    </row>
    <row r="20" customFormat="false" ht="15" hidden="false" customHeight="false" outlineLevel="0" collapsed="false">
      <c r="A20" s="13" t="s">
        <v>109</v>
      </c>
      <c r="B20" s="13"/>
      <c r="C20" s="13"/>
      <c r="D20" s="14" t="n">
        <f aca="false">B5</f>
        <v>0.0864</v>
      </c>
      <c r="F20" s="11"/>
    </row>
    <row r="22" customFormat="false" ht="149.25" hidden="false" customHeight="false" outlineLevel="0" collapsed="false">
      <c r="A22" s="31" t="s">
        <v>110</v>
      </c>
    </row>
  </sheetData>
  <mergeCells count="3">
    <mergeCell ref="A18:C18"/>
    <mergeCell ref="A19:C19"/>
    <mergeCell ref="A20:C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14"/>
    <col collapsed="false" customWidth="true" hidden="false" outlineLevel="0" max="6" min="4" style="0" width="18"/>
    <col collapsed="false" customWidth="true" hidden="false" outlineLevel="0" max="7" min="7" style="0" width="50"/>
  </cols>
  <sheetData>
    <row r="1" customFormat="false" ht="15" hidden="false" customHeight="false" outlineLevel="0" collapsed="false">
      <c r="A1" s="8" t="s">
        <v>111</v>
      </c>
    </row>
    <row r="3" customFormat="false" ht="15" hidden="false" customHeight="false" outlineLevel="0" collapsed="false">
      <c r="A3" s="18" t="s">
        <v>112</v>
      </c>
      <c r="B3" s="10" t="n">
        <v>0.09</v>
      </c>
    </row>
    <row r="5" customFormat="false" ht="28.35" hidden="false" customHeight="false" outlineLevel="0" collapsed="false">
      <c r="A5" s="24" t="s">
        <v>70</v>
      </c>
      <c r="B5" s="24" t="s">
        <v>71</v>
      </c>
      <c r="C5" s="24" t="s">
        <v>72</v>
      </c>
      <c r="D5" s="24" t="s">
        <v>113</v>
      </c>
      <c r="E5" s="24" t="s">
        <v>114</v>
      </c>
      <c r="F5" s="24"/>
      <c r="G5" s="24"/>
    </row>
    <row r="6" customFormat="false" ht="15" hidden="false" customHeight="false" outlineLevel="0" collapsed="false">
      <c r="A6" s="9" t="n">
        <v>0</v>
      </c>
      <c r="B6" s="21" t="n">
        <f aca="false">'3. Drawdown fund'!B6</f>
        <v>20</v>
      </c>
      <c r="C6" s="21" t="n">
        <f aca="false">'3. Drawdown fund'!C6</f>
        <v>0</v>
      </c>
      <c r="D6" s="21" t="n">
        <f aca="false">B6*(1+$B$3)^(10-A6)</f>
        <v>47.3472734918424</v>
      </c>
      <c r="E6" s="21" t="n">
        <f aca="false">C6*(1+$B$3)^(10-A6)</f>
        <v>0</v>
      </c>
    </row>
    <row r="7" customFormat="false" ht="15" hidden="false" customHeight="false" outlineLevel="0" collapsed="false">
      <c r="A7" s="9" t="n">
        <v>1</v>
      </c>
      <c r="B7" s="21" t="n">
        <f aca="false">'3. Drawdown fund'!B7</f>
        <v>25</v>
      </c>
      <c r="C7" s="21" t="n">
        <f aca="false">'3. Drawdown fund'!C7</f>
        <v>0</v>
      </c>
      <c r="D7" s="21" t="n">
        <f aca="false">B7*(1+$B$3)^(10-A7)</f>
        <v>54.2973319860578</v>
      </c>
      <c r="E7" s="21" t="n">
        <f aca="false">C7*(1+$B$3)^(10-A7)</f>
        <v>0</v>
      </c>
    </row>
    <row r="8" customFormat="false" ht="15" hidden="false" customHeight="false" outlineLevel="0" collapsed="false">
      <c r="A8" s="9" t="n">
        <v>2</v>
      </c>
      <c r="B8" s="21" t="n">
        <f aca="false">'3. Drawdown fund'!B8</f>
        <v>25</v>
      </c>
      <c r="C8" s="21" t="n">
        <f aca="false">'3. Drawdown fund'!C8</f>
        <v>0</v>
      </c>
      <c r="D8" s="21" t="n">
        <f aca="false">B8*(1+$B$3)^(10-A8)</f>
        <v>49.8140660422548</v>
      </c>
      <c r="E8" s="21" t="n">
        <f aca="false">C8*(1+$B$3)^(10-A8)</f>
        <v>0</v>
      </c>
    </row>
    <row r="9" customFormat="false" ht="15" hidden="false" customHeight="false" outlineLevel="0" collapsed="false">
      <c r="A9" s="9" t="n">
        <v>3</v>
      </c>
      <c r="B9" s="21" t="n">
        <f aca="false">'3. Drawdown fund'!B9</f>
        <v>20</v>
      </c>
      <c r="C9" s="21" t="n">
        <f aca="false">'3. Drawdown fund'!C9</f>
        <v>0</v>
      </c>
      <c r="D9" s="21" t="n">
        <f aca="false">B9*(1+$B$3)^(10-A9)</f>
        <v>36.5607824163338</v>
      </c>
      <c r="E9" s="21" t="n">
        <f aca="false">C9*(1+$B$3)^(10-A9)</f>
        <v>0</v>
      </c>
    </row>
    <row r="10" customFormat="false" ht="15" hidden="false" customHeight="false" outlineLevel="0" collapsed="false">
      <c r="A10" s="9" t="n">
        <v>4</v>
      </c>
      <c r="B10" s="21" t="n">
        <f aca="false">'3. Drawdown fund'!B10</f>
        <v>10</v>
      </c>
      <c r="C10" s="21" t="n">
        <f aca="false">'3. Drawdown fund'!C10</f>
        <v>15</v>
      </c>
      <c r="D10" s="21" t="n">
        <f aca="false">B10*(1+$B$3)^(10-A10)</f>
        <v>16.77100110841</v>
      </c>
      <c r="E10" s="21" t="n">
        <f aca="false">C10*(1+$B$3)^(10-A10)</f>
        <v>25.156501662615</v>
      </c>
    </row>
    <row r="11" customFormat="false" ht="15" hidden="false" customHeight="false" outlineLevel="0" collapsed="false">
      <c r="A11" s="9" t="n">
        <v>5</v>
      </c>
      <c r="B11" s="21" t="n">
        <f aca="false">'3. Drawdown fund'!B11</f>
        <v>0</v>
      </c>
      <c r="C11" s="21" t="n">
        <f aca="false">'3. Drawdown fund'!C11</f>
        <v>26</v>
      </c>
      <c r="D11" s="21" t="n">
        <f aca="false">B11*(1+$B$3)^(10-A11)</f>
        <v>0</v>
      </c>
      <c r="E11" s="21" t="n">
        <f aca="false">C11*(1+$B$3)^(10-A11)</f>
        <v>40.0042228274</v>
      </c>
    </row>
    <row r="12" customFormat="false" ht="15" hidden="false" customHeight="false" outlineLevel="0" collapsed="false">
      <c r="A12" s="9" t="n">
        <v>6</v>
      </c>
      <c r="B12" s="21" t="n">
        <f aca="false">'3. Drawdown fund'!B12</f>
        <v>0</v>
      </c>
      <c r="C12" s="21" t="n">
        <f aca="false">'3. Drawdown fund'!C12</f>
        <v>42</v>
      </c>
      <c r="D12" s="21" t="n">
        <f aca="false">B12*(1+$B$3)^(10-A12)</f>
        <v>0</v>
      </c>
      <c r="E12" s="21" t="n">
        <f aca="false">C12*(1+$B$3)^(10-A12)</f>
        <v>59.28642762</v>
      </c>
    </row>
    <row r="13" customFormat="false" ht="15" hidden="false" customHeight="false" outlineLevel="0" collapsed="false">
      <c r="A13" s="9" t="n">
        <v>7</v>
      </c>
      <c r="B13" s="21" t="n">
        <f aca="false">'3. Drawdown fund'!B13</f>
        <v>0</v>
      </c>
      <c r="C13" s="21" t="n">
        <f aca="false">'3. Drawdown fund'!C13</f>
        <v>48</v>
      </c>
      <c r="D13" s="21" t="n">
        <f aca="false">B13*(1+$B$3)^(10-A13)</f>
        <v>0</v>
      </c>
      <c r="E13" s="21" t="n">
        <f aca="false">C13*(1+$B$3)^(10-A13)</f>
        <v>62.161392</v>
      </c>
    </row>
    <row r="14" customFormat="false" ht="15" hidden="false" customHeight="false" outlineLevel="0" collapsed="false">
      <c r="A14" s="9" t="n">
        <v>8</v>
      </c>
      <c r="B14" s="21" t="n">
        <f aca="false">'3. Drawdown fund'!B14</f>
        <v>0</v>
      </c>
      <c r="C14" s="21" t="n">
        <f aca="false">'3. Drawdown fund'!C14</f>
        <v>44</v>
      </c>
      <c r="D14" s="21" t="n">
        <f aca="false">B14*(1+$B$3)^(10-A14)</f>
        <v>0</v>
      </c>
      <c r="E14" s="21" t="n">
        <f aca="false">C14*(1+$B$3)^(10-A14)</f>
        <v>52.2764</v>
      </c>
    </row>
    <row r="15" customFormat="false" ht="15" hidden="false" customHeight="false" outlineLevel="0" collapsed="false">
      <c r="A15" s="9" t="n">
        <v>9</v>
      </c>
      <c r="B15" s="21" t="n">
        <f aca="false">'3. Drawdown fund'!B15</f>
        <v>0</v>
      </c>
      <c r="C15" s="21" t="n">
        <f aca="false">'3. Drawdown fund'!C15</f>
        <v>34</v>
      </c>
      <c r="D15" s="21" t="n">
        <f aca="false">B15*(1+$B$3)^(10-A15)</f>
        <v>0</v>
      </c>
      <c r="E15" s="21" t="n">
        <f aca="false">C15*(1+$B$3)^(10-A15)</f>
        <v>37.06</v>
      </c>
    </row>
    <row r="16" customFormat="false" ht="15" hidden="false" customHeight="false" outlineLevel="0" collapsed="false">
      <c r="A16" s="9" t="n">
        <v>10</v>
      </c>
      <c r="B16" s="21" t="n">
        <f aca="false">'3. Drawdown fund'!B16</f>
        <v>0</v>
      </c>
      <c r="C16" s="21" t="n">
        <f aca="false">'3. Drawdown fund'!C16</f>
        <v>21</v>
      </c>
      <c r="D16" s="21" t="n">
        <f aca="false">B16*(1+$B$3)^(10-A16)</f>
        <v>0</v>
      </c>
      <c r="E16" s="21" t="n">
        <f aca="false">C16*(1+$B$3)^(10-A16)</f>
        <v>21</v>
      </c>
    </row>
    <row r="17" customFormat="false" ht="15" hidden="false" customHeight="false" outlineLevel="0" collapsed="false">
      <c r="A17" s="18" t="s">
        <v>74</v>
      </c>
      <c r="D17" s="22" t="n">
        <f aca="false">SUM(D6:D16)</f>
        <v>204.790455044899</v>
      </c>
      <c r="E17" s="22" t="n">
        <f aca="false">SUM(E6:E16)</f>
        <v>296.944944110015</v>
      </c>
    </row>
    <row r="19" customFormat="false" ht="15" hidden="false" customHeight="false" outlineLevel="0" collapsed="false">
      <c r="A19" s="13" t="s">
        <v>115</v>
      </c>
      <c r="B19" s="13"/>
      <c r="C19" s="13"/>
      <c r="D19" s="13"/>
      <c r="E19" s="25" t="n">
        <f aca="false">E17/D17</f>
        <v>1.44999406366333</v>
      </c>
      <c r="G19" s="11" t="s">
        <v>116</v>
      </c>
    </row>
    <row r="20" customFormat="false" ht="15" hidden="false" customHeight="false" outlineLevel="0" collapsed="false">
      <c r="A20" s="9" t="s">
        <v>117</v>
      </c>
      <c r="B20" s="9"/>
      <c r="C20" s="9"/>
      <c r="D20" s="9"/>
      <c r="E20" s="21" t="n">
        <f aca="false">100*(1+B3)^10</f>
        <v>236.736367459212</v>
      </c>
      <c r="G20" s="11"/>
    </row>
    <row r="21" customFormat="false" ht="15" hidden="false" customHeight="false" outlineLevel="0" collapsed="false">
      <c r="A21" s="9" t="s">
        <v>118</v>
      </c>
      <c r="B21" s="9"/>
      <c r="C21" s="9"/>
      <c r="D21" s="9"/>
      <c r="E21" s="21" t="n">
        <f aca="false">'4. Committed capital'!E19</f>
        <v>269.452660083787</v>
      </c>
      <c r="G21" s="11"/>
    </row>
    <row r="22" customFormat="false" ht="15" hidden="false" customHeight="false" outlineLevel="0" collapsed="false">
      <c r="A22" s="13" t="s">
        <v>119</v>
      </c>
      <c r="B22" s="13"/>
      <c r="C22" s="13"/>
      <c r="D22" s="13"/>
      <c r="E22" s="25" t="n">
        <f aca="false">E21/E20</f>
        <v>1.13819715566182</v>
      </c>
      <c r="G22" s="11"/>
    </row>
    <row r="23" customFormat="false" ht="15" hidden="false" customHeight="false" outlineLevel="0" collapsed="false">
      <c r="A23" s="13" t="s">
        <v>120</v>
      </c>
      <c r="B23" s="13"/>
      <c r="C23" s="13"/>
      <c r="D23" s="13"/>
      <c r="E23" s="25" t="n">
        <f aca="false">E19-E22</f>
        <v>0.311796908001505</v>
      </c>
      <c r="G23" s="11" t="s">
        <v>121</v>
      </c>
    </row>
    <row r="24" customFormat="false" ht="15" hidden="false" customHeight="false" outlineLevel="0" collapsed="false">
      <c r="A24" s="9" t="s">
        <v>98</v>
      </c>
      <c r="B24" s="9"/>
      <c r="C24" s="9"/>
      <c r="D24" s="9"/>
      <c r="E24" s="21" t="n">
        <f aca="false">'2. Share classes'!B33</f>
        <v>229.032740330641</v>
      </c>
      <c r="G24" s="11"/>
    </row>
    <row r="25" customFormat="false" ht="15" hidden="false" customHeight="false" outlineLevel="0" collapsed="false">
      <c r="A25" s="13" t="s">
        <v>122</v>
      </c>
      <c r="B25" s="13"/>
      <c r="C25" s="13"/>
      <c r="D25" s="13"/>
      <c r="E25" s="25" t="n">
        <f aca="false">E24/E20</f>
        <v>0.967459046485967</v>
      </c>
      <c r="G25" s="11" t="s">
        <v>123</v>
      </c>
    </row>
  </sheetData>
  <mergeCells count="7">
    <mergeCell ref="A19:D19"/>
    <mergeCell ref="A20:D20"/>
    <mergeCell ref="A21:D21"/>
    <mergeCell ref="A22:D22"/>
    <mergeCell ref="A23:D23"/>
    <mergeCell ref="A24:D24"/>
    <mergeCell ref="A25:D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6"/>
    <col collapsed="false" customWidth="true" hidden="false" outlineLevel="0" max="3" min="3" style="0" width="58"/>
  </cols>
  <sheetData>
    <row r="1" customFormat="false" ht="15" hidden="false" customHeight="false" outlineLevel="0" collapsed="false">
      <c r="A1" s="8" t="s">
        <v>124</v>
      </c>
    </row>
    <row r="3" customFormat="false" ht="15" hidden="false" customHeight="false" outlineLevel="0" collapsed="false">
      <c r="A3" s="9" t="s">
        <v>125</v>
      </c>
      <c r="B3" s="10" t="n">
        <v>0.065</v>
      </c>
      <c r="C3" s="11" t="s">
        <v>126</v>
      </c>
    </row>
    <row r="4" customFormat="false" ht="15" hidden="false" customHeight="false" outlineLevel="0" collapsed="false">
      <c r="A4" s="9" t="s">
        <v>127</v>
      </c>
      <c r="B4" s="10" t="n">
        <v>0.45</v>
      </c>
      <c r="C4" s="11" t="s">
        <v>128</v>
      </c>
    </row>
    <row r="6" customFormat="false" ht="15" hidden="false" customHeight="false" outlineLevel="0" collapsed="false">
      <c r="A6" s="9" t="s">
        <v>129</v>
      </c>
      <c r="B6" s="32" t="n">
        <f aca="false">SQRT(1+B4)</f>
        <v>1.20415945787923</v>
      </c>
      <c r="C6" s="11"/>
    </row>
    <row r="7" customFormat="false" ht="15" hidden="false" customHeight="false" outlineLevel="0" collapsed="false">
      <c r="A7" s="9" t="s">
        <v>130</v>
      </c>
      <c r="B7" s="32" t="n">
        <f aca="false">SQRT(1-B4)</f>
        <v>0.741619848709566</v>
      </c>
      <c r="C7" s="11"/>
    </row>
    <row r="8" customFormat="false" ht="28.35" hidden="false" customHeight="false" outlineLevel="0" collapsed="false">
      <c r="A8" s="13" t="s">
        <v>131</v>
      </c>
      <c r="B8" s="33" t="n">
        <f aca="false">B6/B7</f>
        <v>1.62368828177198</v>
      </c>
      <c r="C8" s="11" t="s">
        <v>132</v>
      </c>
      <c r="D8" s="34" t="n">
        <f aca="false">SQRT(1+B4^2)/(1-B4)</f>
        <v>1.99379201813285</v>
      </c>
      <c r="E8" s="7" t="s">
        <v>133</v>
      </c>
    </row>
    <row r="9" customFormat="false" ht="15" hidden="false" customHeight="false" outlineLevel="0" collapsed="false">
      <c r="A9" s="13" t="s">
        <v>134</v>
      </c>
      <c r="B9" s="14" t="n">
        <f aca="false">B3*B8</f>
        <v>0.105539738315179</v>
      </c>
      <c r="C9" s="11"/>
    </row>
    <row r="11" customFormat="false" ht="15" hidden="false" customHeight="false" outlineLevel="0" collapsed="false">
      <c r="A11" s="9" t="s">
        <v>135</v>
      </c>
      <c r="B11" s="12" t="n">
        <f aca="false">B9-B3</f>
        <v>0.0405397383151785</v>
      </c>
      <c r="C11" s="11" t="s">
        <v>136</v>
      </c>
    </row>
    <row r="13" customFormat="false" ht="15" hidden="false" customHeight="false" outlineLevel="0" collapsed="false">
      <c r="A13" s="9" t="s">
        <v>137</v>
      </c>
      <c r="B13" s="10" t="n">
        <v>0.042</v>
      </c>
      <c r="C13" s="11"/>
    </row>
    <row r="14" customFormat="false" ht="15" hidden="false" customHeight="false" outlineLevel="0" collapsed="false">
      <c r="A14" s="9" t="s">
        <v>99</v>
      </c>
      <c r="B14" s="12" t="n">
        <f aca="false">'2. Share classes'!B14</f>
        <v>0.0864</v>
      </c>
      <c r="C14" s="11"/>
    </row>
    <row r="15" customFormat="false" ht="15" hidden="false" customHeight="false" outlineLevel="0" collapsed="false">
      <c r="A15" s="13" t="s">
        <v>138</v>
      </c>
      <c r="B15" s="35" t="n">
        <f aca="false">(B14-B13)/B3</f>
        <v>0.683076923076923</v>
      </c>
      <c r="C15" s="11"/>
    </row>
    <row r="16" customFormat="false" ht="15" hidden="false" customHeight="false" outlineLevel="0" collapsed="false">
      <c r="A16" s="13" t="s">
        <v>139</v>
      </c>
      <c r="B16" s="35" t="n">
        <f aca="false">(B14-B13)/B9</f>
        <v>0.420694619001291</v>
      </c>
      <c r="C16" s="11"/>
    </row>
    <row r="17" customFormat="false" ht="15" hidden="false" customHeight="false" outlineLevel="0" collapsed="false">
      <c r="A17" s="9" t="s">
        <v>140</v>
      </c>
      <c r="B17" s="32" t="n">
        <f aca="false">B15/B16</f>
        <v>1.62368828177198</v>
      </c>
      <c r="C17" s="11" t="s">
        <v>141</v>
      </c>
    </row>
    <row r="19" customFormat="false" ht="15" hidden="false" customHeight="false" outlineLevel="0" collapsed="false">
      <c r="A19" s="9" t="s">
        <v>142</v>
      </c>
      <c r="B19" s="10" t="n">
        <v>0.06</v>
      </c>
      <c r="C19" s="11"/>
    </row>
    <row r="20" customFormat="false" ht="15" hidden="false" customHeight="false" outlineLevel="0" collapsed="false">
      <c r="A20" s="9" t="s">
        <v>98</v>
      </c>
      <c r="B20" s="21" t="n">
        <f aca="false">'2. Share classes'!B33</f>
        <v>229.032740330641</v>
      </c>
      <c r="C20" s="11"/>
    </row>
    <row r="21" customFormat="false" ht="15" hidden="false" customHeight="false" outlineLevel="0" collapsed="false">
      <c r="A21" s="9" t="s">
        <v>143</v>
      </c>
      <c r="B21" s="21" t="n">
        <f aca="false">B20*(1-B19)</f>
        <v>215.290775910802</v>
      </c>
      <c r="C21" s="11"/>
    </row>
    <row r="22" customFormat="false" ht="15" hidden="false" customHeight="false" outlineLevel="0" collapsed="false">
      <c r="A22" s="13" t="s">
        <v>144</v>
      </c>
      <c r="B22" s="14" t="n">
        <f aca="false">(B21/100)^(1/10)-1</f>
        <v>0.0796986100809813</v>
      </c>
      <c r="C22" s="11"/>
    </row>
    <row r="23" customFormat="false" ht="15" hidden="false" customHeight="false" outlineLevel="0" collapsed="false">
      <c r="A23" s="13" t="s">
        <v>145</v>
      </c>
      <c r="B23" s="19" t="n">
        <f aca="false">(B14-B22)*10000</f>
        <v>67.0138991901868</v>
      </c>
      <c r="C23" s="11"/>
    </row>
    <row r="24" customFormat="false" ht="15" hidden="false" customHeight="false" outlineLevel="0" collapsed="false">
      <c r="A24" s="9" t="s">
        <v>146</v>
      </c>
      <c r="B24" s="15" t="n">
        <f aca="false">'1. Sleeve drag'!B11</f>
        <v>164</v>
      </c>
      <c r="C24" s="11" t="s">
        <v>147</v>
      </c>
    </row>
    <row r="25" customFormat="false" ht="15" hidden="false" customHeight="false" outlineLevel="0" collapsed="false">
      <c r="A25" s="9" t="s">
        <v>148</v>
      </c>
      <c r="B25" s="36" t="n">
        <f aca="false">B23/B24</f>
        <v>0.40862133652553</v>
      </c>
      <c r="C25" s="1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62"/>
    <col collapsed="false" customWidth="true" hidden="false" outlineLevel="0" max="3" min="3" style="0" width="20"/>
    <col collapsed="false" customWidth="true" hidden="false" outlineLevel="0" max="4" min="4" style="0" width="14"/>
  </cols>
  <sheetData>
    <row r="1" customFormat="false" ht="15" hidden="false" customHeight="false" outlineLevel="0" collapsed="false">
      <c r="A1" s="24" t="s">
        <v>149</v>
      </c>
      <c r="B1" s="24" t="s">
        <v>150</v>
      </c>
      <c r="C1" s="24" t="s">
        <v>151</v>
      </c>
      <c r="D1" s="24" t="s">
        <v>152</v>
      </c>
    </row>
    <row r="2" customFormat="false" ht="28.35" hidden="false" customHeight="false" outlineLevel="0" collapsed="false">
      <c r="A2" s="9" t="n">
        <v>1</v>
      </c>
      <c r="B2" s="11" t="s">
        <v>153</v>
      </c>
      <c r="C2" s="37" t="n">
        <f aca="false">'1. Sleeve drag'!B9-'1. Sleeve drag'!B10</f>
        <v>0</v>
      </c>
      <c r="D2" s="13" t="str">
        <f aca="false">IF(ABS(C2)&lt;0.0000001,"PASS","FAIL")</f>
        <v>PASS</v>
      </c>
    </row>
    <row r="3" customFormat="false" ht="15" hidden="false" customHeight="false" outlineLevel="0" collapsed="false">
      <c r="A3" s="9" t="n">
        <v>2</v>
      </c>
      <c r="B3" s="11" t="s">
        <v>154</v>
      </c>
      <c r="C3" s="38" t="n">
        <f aca="false">'1. Sleeve drag'!B11</f>
        <v>164</v>
      </c>
      <c r="D3" s="13" t="str">
        <f aca="false">IF(ABS(C3-164)&lt;0.5,"PASS","FAIL")</f>
        <v>PASS</v>
      </c>
    </row>
    <row r="4" customFormat="false" ht="15" hidden="false" customHeight="false" outlineLevel="0" collapsed="false">
      <c r="A4" s="9" t="n">
        <v>3</v>
      </c>
      <c r="B4" s="11" t="s">
        <v>155</v>
      </c>
      <c r="C4" s="39" t="n">
        <f aca="false">'1. Sleeve drag'!B8</f>
        <v>0.1076</v>
      </c>
      <c r="D4" s="13" t="str">
        <f aca="false">IF(ABS(C4-0.1076)&lt;0.00005,"PASS","FAIL")</f>
        <v>PASS</v>
      </c>
    </row>
    <row r="5" customFormat="false" ht="15" hidden="false" customHeight="false" outlineLevel="0" collapsed="false">
      <c r="A5" s="9" t="n">
        <v>4</v>
      </c>
      <c r="B5" s="11" t="s">
        <v>156</v>
      </c>
      <c r="C5" s="39" t="n">
        <f aca="false">'2. Share classes'!B14</f>
        <v>0.0864</v>
      </c>
      <c r="D5" s="13" t="str">
        <f aca="false">IF(ABS(C5-0.0864)&lt;0.00005,"PASS","FAIL")</f>
        <v>PASS</v>
      </c>
    </row>
    <row r="6" customFormat="false" ht="15" hidden="false" customHeight="false" outlineLevel="0" collapsed="false">
      <c r="A6" s="9" t="n">
        <v>5</v>
      </c>
      <c r="B6" s="11" t="s">
        <v>157</v>
      </c>
      <c r="C6" s="39" t="n">
        <f aca="false">'2. Share classes'!B24</f>
        <v>0.0754625</v>
      </c>
      <c r="D6" s="13" t="str">
        <f aca="false">IF(ABS(C6-0.075463)&lt;0.00005,"PASS","FAIL")</f>
        <v>PASS</v>
      </c>
    </row>
    <row r="7" customFormat="false" ht="15" hidden="false" customHeight="false" outlineLevel="0" collapsed="false">
      <c r="A7" s="9" t="n">
        <v>6</v>
      </c>
      <c r="B7" s="11" t="s">
        <v>158</v>
      </c>
      <c r="C7" s="38" t="n">
        <f aca="false">'2. Share classes'!B30</f>
        <v>109.375</v>
      </c>
      <c r="D7" s="13" t="str">
        <f aca="false">IF(C7&gt;100,"PASS","FAIL")</f>
        <v>PASS</v>
      </c>
    </row>
    <row r="8" customFormat="false" ht="15" hidden="false" customHeight="false" outlineLevel="0" collapsed="false">
      <c r="A8" s="9" t="n">
        <v>7</v>
      </c>
      <c r="B8" s="11" t="s">
        <v>159</v>
      </c>
      <c r="C8" s="39" t="n">
        <f aca="false">'2. Share classes'!B28</f>
        <v>0.0015625</v>
      </c>
      <c r="D8" s="13" t="str">
        <f aca="false">IF(C8&gt;0,"PASS","FAIL")</f>
        <v>PASS</v>
      </c>
    </row>
    <row r="9" customFormat="false" ht="15" hidden="false" customHeight="false" outlineLevel="0" collapsed="false">
      <c r="A9" s="9" t="n">
        <v>8</v>
      </c>
      <c r="B9" s="11" t="s">
        <v>160</v>
      </c>
      <c r="C9" s="40" t="n">
        <f aca="false">'3. Drawdown fund'!D19</f>
        <v>2.3</v>
      </c>
      <c r="D9" s="13" t="str">
        <f aca="false">IF(ABS(C9-2.3)&lt;0.005,"PASS","FAIL")</f>
        <v>PASS</v>
      </c>
    </row>
    <row r="10" customFormat="false" ht="15" hidden="false" customHeight="false" outlineLevel="0" collapsed="false">
      <c r="A10" s="9" t="n">
        <v>9</v>
      </c>
      <c r="B10" s="11" t="s">
        <v>161</v>
      </c>
      <c r="C10" s="39" t="n">
        <f aca="false">'3. Drawdown fund'!D20</f>
        <v>0.169857623767602</v>
      </c>
      <c r="D10" s="13" t="str">
        <f aca="false">IF(ABS(C10-0.169858)&lt;0.0002,"PASS","FAIL")</f>
        <v>PASS</v>
      </c>
    </row>
    <row r="11" customFormat="false" ht="15" hidden="false" customHeight="false" outlineLevel="0" collapsed="false">
      <c r="A11" s="9" t="n">
        <v>10</v>
      </c>
      <c r="B11" s="11" t="s">
        <v>162</v>
      </c>
      <c r="C11" s="41" t="n">
        <f aca="false">'3. Drawdown fund'!B17-'3. Drawdown fund'!B3</f>
        <v>0</v>
      </c>
      <c r="D11" s="13" t="str">
        <f aca="false">IF(ABS(C11)&lt;0.0001,"PASS","FAIL")</f>
        <v>PASS</v>
      </c>
    </row>
    <row r="12" customFormat="false" ht="15" hidden="false" customHeight="false" outlineLevel="0" collapsed="false">
      <c r="A12" s="9" t="n">
        <v>11</v>
      </c>
      <c r="B12" s="11" t="s">
        <v>163</v>
      </c>
      <c r="C12" s="41" t="n">
        <f aca="false">'4. Committed capital'!E19</f>
        <v>269.452660083787</v>
      </c>
      <c r="D12" s="13" t="str">
        <f aca="false">IF(ABS(C12-269.4527)&lt;0.01,"PASS","FAIL")</f>
        <v>PASS</v>
      </c>
    </row>
    <row r="13" customFormat="false" ht="15" hidden="false" customHeight="false" outlineLevel="0" collapsed="false">
      <c r="A13" s="9" t="n">
        <v>12</v>
      </c>
      <c r="B13" s="11" t="s">
        <v>164</v>
      </c>
      <c r="C13" s="39" t="n">
        <f aca="false">'4. Committed capital'!E20</f>
        <v>0.104201283295026</v>
      </c>
      <c r="D13" s="13" t="str">
        <f aca="false">IF(ABS(C13-0.104201)&lt;0.0002,"PASS","FAIL")</f>
        <v>PASS</v>
      </c>
    </row>
    <row r="14" customFormat="false" ht="15" hidden="false" customHeight="false" outlineLevel="0" collapsed="false">
      <c r="A14" s="9" t="n">
        <v>13</v>
      </c>
      <c r="B14" s="11" t="s">
        <v>165</v>
      </c>
      <c r="C14" s="39" t="n">
        <f aca="false">'4. Committed capital'!E24-'4. Committed capital'!E25</f>
        <v>0.0656563404725759</v>
      </c>
      <c r="D14" s="13" t="str">
        <f aca="false">IF(C14&gt;0.05,"PASS","FAIL")</f>
        <v>PASS</v>
      </c>
    </row>
    <row r="15" customFormat="false" ht="15" hidden="false" customHeight="false" outlineLevel="0" collapsed="false">
      <c r="A15" s="9" t="n">
        <v>14</v>
      </c>
      <c r="B15" s="11" t="s">
        <v>166</v>
      </c>
      <c r="C15" s="42" t="n">
        <f aca="false">'4. Committed capital'!E26</f>
        <v>0.786702730183213</v>
      </c>
      <c r="D15" s="13" t="str">
        <f aca="false">IF(ABS(C15-0.7871)&lt;0.01,"PASS","FAIL")</f>
        <v>PASS</v>
      </c>
    </row>
    <row r="16" customFormat="false" ht="15" hidden="false" customHeight="false" outlineLevel="0" collapsed="false">
      <c r="A16" s="9" t="n">
        <v>15</v>
      </c>
      <c r="B16" s="11" t="s">
        <v>167</v>
      </c>
      <c r="C16" s="9" t="str">
        <f aca="false">'5. Sensitivity'!E14</f>
        <v>yes</v>
      </c>
      <c r="D16" s="13" t="str">
        <f aca="false">IF(C16="yes","PASS","FAIL")</f>
        <v>PASS</v>
      </c>
    </row>
    <row r="17" customFormat="false" ht="15" hidden="false" customHeight="false" outlineLevel="0" collapsed="false">
      <c r="A17" s="9" t="n">
        <v>16</v>
      </c>
      <c r="B17" s="11" t="s">
        <v>168</v>
      </c>
      <c r="C17" s="9" t="str">
        <f aca="false">'5. Sensitivity'!E8</f>
        <v>NO</v>
      </c>
      <c r="D17" s="13" t="str">
        <f aca="false">IF(C17="NO","PASS","FAIL")</f>
        <v>PASS</v>
      </c>
    </row>
    <row r="18" customFormat="false" ht="15" hidden="false" customHeight="false" outlineLevel="0" collapsed="false">
      <c r="A18" s="9" t="n">
        <v>17</v>
      </c>
      <c r="B18" s="11" t="s">
        <v>169</v>
      </c>
      <c r="C18" s="41" t="n">
        <f aca="false">'5. Sensitivity'!D10-'5. Sensitivity'!B4</f>
        <v>0</v>
      </c>
      <c r="D18" s="13" t="str">
        <f aca="false">IF(ABS(C18)&lt;0.05,"PASS","FAIL")</f>
        <v>PASS</v>
      </c>
    </row>
    <row r="19" customFormat="false" ht="15" hidden="false" customHeight="false" outlineLevel="0" collapsed="false">
      <c r="A19" s="9" t="n">
        <v>18</v>
      </c>
      <c r="B19" s="11" t="s">
        <v>170</v>
      </c>
      <c r="C19" s="39" t="n">
        <f aca="false">'5. Sensitivity'!D19</f>
        <v>0.132543859997493</v>
      </c>
      <c r="D19" s="13" t="str">
        <f aca="false">IF(ABS(C19-0.1325)&lt;0.0005,"PASS","FAIL")</f>
        <v>PASS</v>
      </c>
    </row>
    <row r="20" customFormat="false" ht="15" hidden="false" customHeight="false" outlineLevel="0" collapsed="false">
      <c r="A20" s="9" t="n">
        <v>19</v>
      </c>
      <c r="B20" s="11" t="s">
        <v>171</v>
      </c>
      <c r="C20" s="40" t="n">
        <f aca="false">'6. PME'!E19</f>
        <v>1.44999406366333</v>
      </c>
      <c r="D20" s="13" t="str">
        <f aca="false">IF(ABS(C20-1.45)&lt;0.005,"PASS","FAIL")</f>
        <v>PASS</v>
      </c>
    </row>
    <row r="21" customFormat="false" ht="15" hidden="false" customHeight="false" outlineLevel="0" collapsed="false">
      <c r="A21" s="9" t="n">
        <v>20</v>
      </c>
      <c r="B21" s="11" t="s">
        <v>172</v>
      </c>
      <c r="C21" s="40" t="n">
        <f aca="false">'6. PME'!E22</f>
        <v>1.13819715566182</v>
      </c>
      <c r="D21" s="13" t="str">
        <f aca="false">IF(ABS(C21-1.1382)&lt;0.005,"PASS","FAIL")</f>
        <v>PASS</v>
      </c>
    </row>
    <row r="22" customFormat="false" ht="15" hidden="false" customHeight="false" outlineLevel="0" collapsed="false">
      <c r="A22" s="9" t="n">
        <v>21</v>
      </c>
      <c r="B22" s="11" t="s">
        <v>173</v>
      </c>
      <c r="C22" s="40" t="n">
        <f aca="false">'6. PME'!E23</f>
        <v>0.311796908001505</v>
      </c>
      <c r="D22" s="13" t="str">
        <f aca="false">IF(ABS(C22-0.3118)&lt;0.005,"PASS","FAIL")</f>
        <v>PASS</v>
      </c>
    </row>
    <row r="23" customFormat="false" ht="15" hidden="false" customHeight="false" outlineLevel="0" collapsed="false">
      <c r="A23" s="9" t="n">
        <v>22</v>
      </c>
      <c r="B23" s="11" t="s">
        <v>174</v>
      </c>
      <c r="C23" s="40" t="n">
        <f aca="false">'6. PME'!E25</f>
        <v>0.967459046485967</v>
      </c>
      <c r="D23" s="13" t="str">
        <f aca="false">IF(C23&lt;1,"PASS","FAIL")</f>
        <v>PASS</v>
      </c>
    </row>
    <row r="24" customFormat="false" ht="15" hidden="false" customHeight="false" outlineLevel="0" collapsed="false">
      <c r="A24" s="9" t="n">
        <v>23</v>
      </c>
      <c r="B24" s="11" t="s">
        <v>175</v>
      </c>
      <c r="C24" s="43" t="n">
        <f aca="false">'7. Volatility'!B8</f>
        <v>1.62368828177198</v>
      </c>
      <c r="D24" s="13" t="str">
        <f aca="false">IF(ABS(C24-1.6237)&lt;0.0005,"PASS","FAIL")</f>
        <v>PASS</v>
      </c>
    </row>
    <row r="25" customFormat="false" ht="15" hidden="false" customHeight="false" outlineLevel="0" collapsed="false">
      <c r="A25" s="9" t="n">
        <v>24</v>
      </c>
      <c r="B25" s="11" t="s">
        <v>176</v>
      </c>
      <c r="C25" s="39" t="n">
        <f aca="false">'7. Volatility'!B9</f>
        <v>0.105539738315179</v>
      </c>
      <c r="D25" s="13" t="str">
        <f aca="false">IF(ABS(C25-0.10554)&lt;0.0002,"PASS","FAIL")</f>
        <v>PASS</v>
      </c>
    </row>
    <row r="26" customFormat="false" ht="15" hidden="false" customHeight="false" outlineLevel="0" collapsed="false">
      <c r="A26" s="9" t="n">
        <v>25</v>
      </c>
      <c r="B26" s="11" t="s">
        <v>177</v>
      </c>
      <c r="C26" s="37" t="n">
        <f aca="false">'7. Volatility'!B17-'7. Volatility'!B8</f>
        <v>0</v>
      </c>
      <c r="D26" s="13" t="str">
        <f aca="false">IF(ABS(C26)&lt;0.000001,"PASS","FAIL")</f>
        <v>PASS</v>
      </c>
    </row>
    <row r="27" customFormat="false" ht="15" hidden="false" customHeight="false" outlineLevel="0" collapsed="false">
      <c r="A27" s="9" t="n">
        <v>26</v>
      </c>
      <c r="B27" s="11" t="s">
        <v>178</v>
      </c>
      <c r="C27" s="38" t="n">
        <f aca="false">'7. Volatility'!B23</f>
        <v>67.0138991901868</v>
      </c>
      <c r="D27" s="13" t="str">
        <f aca="false">IF(ABS(C27-67)&lt;1,"PASS","FAIL")</f>
        <v>PASS</v>
      </c>
    </row>
    <row r="28" customFormat="false" ht="15" hidden="false" customHeight="false" outlineLevel="0" collapsed="false">
      <c r="A28" s="9" t="n">
        <v>27</v>
      </c>
      <c r="B28" s="11" t="s">
        <v>179</v>
      </c>
      <c r="C28" s="42" t="n">
        <f aca="false">'7. Volatility'!B25</f>
        <v>0.40862133652553</v>
      </c>
      <c r="D28" s="13" t="str">
        <f aca="false">IF(ABS(C28-0.4086)&lt;0.01,"PASS","FAIL")</f>
        <v>PASS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2026-08-22T03:44:18Z</dcterms:created>
  <dc:creator>openpyxl</dc:creator>
  <dc:description/>
  <dc:language>en-US</dc:language>
  <cp:lastModifiedBy/>
  <dcterms:modified xsi:type="dcterms:W3CDTF">2026-09-22T19:06:57Z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