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office" sheetId="2" state="visible" r:id="rId4"/>
    <sheet name="2. Cost in basis points" sheetId="3" state="visible" r:id="rId5"/>
    <sheet name="3. The alternative" sheetId="4" state="visible" r:id="rId6"/>
    <sheet name="4. The crossover" sheetId="5" state="visible" r:id="rId7"/>
    <sheet name="5. The hurdle"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<sst xmlns="http://schemas.openxmlformats.org/spreadsheetml/2006/main" count="125" uniqueCount="108">
  <si>
    <t xml:space="preserve">What a Family Office Costs, and When It Pays</t>
  </si>
  <si>
    <t xml:space="preserve">The appendix of The Family Office Professional, live — and the number Chapter 2 leaves as an adjective.</t>
  </si>
  <si>
    <t xml:space="preserve">Chapter 2 says a single-family office is “expensive relative to the assets it manages and viable only above a substantial threshold”. That is the most consequential sentence in the book for a family deciding what to build, and it deserves a number.</t>
  </si>
  <si>
    <t xml:space="preserve">The number is 567 million.</t>
  </si>
  <si>
    <t xml:space="preserve">At that level of wealth a staffed single-family office and a competitive multi-family office both cost about 2.44 million a year, or 43 basis points. Below it the multi-family office is cheaper; above it the single-family office is. Sheet 4 solves for it, and it re-solves the moment any input changes.</t>
  </si>
  <si>
    <t xml:space="preserve">Why the two curves cross at all</t>
  </si>
  <si>
    <t xml:space="preserve">Because one cost is fixed and the other is not. The office costs 2.44 million whether it oversees 100 million or two billion — so its weight falls from 244 basis points to 12. The multi-family office charges on a tiered schedule, so its weight falls too, but only from 65 to 30. One curve plunges, the other sags, and they cross exactly once.</t>
  </si>
  <si>
    <t xml:space="preserve">The framing that actually helps</t>
  </si>
  <si>
    <t xml:space="preserve">A family rarely picks the cheaper option, so a cost comparison invites the wrong conversation. Sheet 5 reframes it as a hurdle: how much better must the single-family office perform, net, to be worth its extra cost? At 250 million the answer is 42 basis points a year, every year, through the cycle, from a five-person team. At 500 million it is three. The same decision changes character entirely between those two numbers, and that is the conversation to have.</t>
  </si>
  <si>
    <t xml:space="preserve">Above the crossover the hurdle turns negative, which is worth saying plainly: the office pays for itself before it has added any value at all.</t>
  </si>
  <si>
    <t xml:space="preserve">What to try</t>
  </si>
  <si>
    <t xml:space="preserve">Add a second analyst on sheet 1 and watch the crossover move out by 99 million, to 666: the salary brings employer costs and the bonus pool with it. Then cut ten basis points off the multi-family office's top tier on sheet 3 and watch it move much further than that. The threshold is not a property of the industry; it is a property of two schedules, and it is more sensitive to the fee you can negotiate than to the salary you pay.</t>
  </si>
  <si>
    <t xml:space="preserve">What it does not do</t>
  </si>
  <si>
    <t xml:space="preserve">No investment management fees, no fund expenses, no performance compensation on direct deals, no tax. This is the price of the office, not the price of the portfolio. And it prices nothing that matters besides money — confidentiality, control, continuity and the next generation are real reasons to build below the crossover, and sheet 5 puts a figure on what they cost rather than pretending they are free.</t>
  </si>
  <si>
    <t xml:space="preserve">The sheets</t>
  </si>
  <si>
    <t xml:space="preserve">1. The office — five salaries and six running costs. Amber cells are yours.</t>
  </si>
  <si>
    <t xml:space="preserve">2. Cost in basis points — the same office across six levels of wealth.</t>
  </si>
  <si>
    <t xml:space="preserve">3. The alternative — a tiered multi-family office schedule, priced.</t>
  </si>
  <si>
    <t xml:space="preserve">4. The crossover — the two curves, and where they meet.</t>
  </si>
  <si>
    <t xml:space="preserve">5. The hurdle — what the office must earn to justify itself.</t>
  </si>
  <si>
    <t xml:space="preserve">6. Checks — ten controls that test themselves and say so.</t>
  </si>
  <si>
    <t xml:space="preserve">Nothing is locked, protected or watermarked. Break it and rebuild it.</t>
  </si>
  <si>
    <t xml:space="preserve">People</t>
  </si>
  <si>
    <t xml:space="preserve">$ per year</t>
  </si>
  <si>
    <t xml:space="preserve">Note</t>
  </si>
  <si>
    <t xml:space="preserve">Chief investment officer</t>
  </si>
  <si>
    <t xml:space="preserve">The smallest complement that covers investment, operations and control.</t>
  </si>
  <si>
    <t xml:space="preserve">Chief operating officer</t>
  </si>
  <si>
    <t xml:space="preserve">Investment analyst</t>
  </si>
  <si>
    <t xml:space="preserve">Add a second here and watch the crossover move on sheet 4.</t>
  </si>
  <si>
    <t xml:space="preserve">Controller</t>
  </si>
  <si>
    <t xml:space="preserve">Administrator</t>
  </si>
  <si>
    <t xml:space="preserve">Salaries</t>
  </si>
  <si>
    <t xml:space="preserve">Employer costs and benefits</t>
  </si>
  <si>
    <t xml:space="preserve">Applied to salaries.</t>
  </si>
  <si>
    <t xml:space="preserve">  in dollars</t>
  </si>
  <si>
    <t xml:space="preserve">Discretionary bonus pool</t>
  </si>
  <si>
    <t xml:space="preserve">People cost</t>
  </si>
  <si>
    <t xml:space="preserve">Salaries alone understate this by more than half a million.</t>
  </si>
  <si>
    <t xml:space="preserve">Running the office</t>
  </si>
  <si>
    <t xml:space="preserve">Premises</t>
  </si>
  <si>
    <t xml:space="preserve">Technology and reporting platform</t>
  </si>
  <si>
    <t xml:space="preserve">Consolidated reporting across custodians is the line families underestimate.</t>
  </si>
  <si>
    <t xml:space="preserve">Audit, tax and legal</t>
  </si>
  <si>
    <t xml:space="preserve">Custody and banking</t>
  </si>
  <si>
    <t xml:space="preserve">Insurance, including directors' cover</t>
  </si>
  <si>
    <t xml:space="preserve">Travel, research, memberships</t>
  </si>
  <si>
    <t xml:space="preserve">Running cost</t>
  </si>
  <si>
    <t xml:space="preserve">Before anyone has made an investment decision.</t>
  </si>
  <si>
    <t xml:space="preserve">TOTAL ANNUAL COST</t>
  </si>
  <si>
    <t xml:space="preserve">The price of the office, not the price of the portfolio.</t>
  </si>
  <si>
    <t xml:space="preserve">Assets overseen ($m)</t>
  </si>
  <si>
    <t xml:space="preserve">100</t>
  </si>
  <si>
    <t xml:space="preserve">250</t>
  </si>
  <si>
    <t xml:space="preserve">500</t>
  </si>
  <si>
    <t xml:space="preserve">750</t>
  </si>
  <si>
    <t xml:space="preserve">1000</t>
  </si>
  <si>
    <t xml:space="preserve">2000</t>
  </si>
  <si>
    <t xml:space="preserve">Cost of the office ($)</t>
  </si>
  <si>
    <t xml:space="preserve">Cost in basis points</t>
  </si>
  <si>
    <t xml:space="preserve">At 100 million the office alone consumes nearly two and a half per cent of the family's wealth every year, before a single investment fee — a return requirement most portfolios cannot meet. At two billion the same office costs twelve basis points and is nearly free. The threshold Chapter 2 refers to lives between those two sentences.</t>
  </si>
  <si>
    <t xml:space="preserve">Multi-family office fee schedule</t>
  </si>
  <si>
    <t xml:space="preserve">Rate</t>
  </si>
  <si>
    <t xml:space="preserve">Band</t>
  </si>
  <si>
    <t xml:space="preserve">On the first 100 million</t>
  </si>
  <si>
    <t xml:space="preserve">On the next 150 million</t>
  </si>
  <si>
    <t xml:space="preserve">100 to 250 million.</t>
  </si>
  <si>
    <t xml:space="preserve">On the next 250 million</t>
  </si>
  <si>
    <t xml:space="preserve">250 to 500 million.</t>
  </si>
  <si>
    <t xml:space="preserve">Above 500 million</t>
  </si>
  <si>
    <t xml:space="preserve">Cut this by ten basis points and watch sheet 4 move a long way.</t>
  </si>
  <si>
    <t xml:space="preserve">Priced at each level</t>
  </si>
  <si>
    <t xml:space="preserve">Assets ($m)</t>
  </si>
  <si>
    <t xml:space="preserve">Fee ($)</t>
  </si>
  <si>
    <t xml:space="preserve">Basis points</t>
  </si>
  <si>
    <t xml:space="preserve">One curve plunges, the other sags. That is why they cross exactly once.</t>
  </si>
  <si>
    <t xml:space="preserve">Single-family office (bps)</t>
  </si>
  <si>
    <t xml:space="preserve">Multi-family office (bps)</t>
  </si>
  <si>
    <t xml:space="preserve">Difference (bps)</t>
  </si>
  <si>
    <t xml:space="preserve">Which is cheaper</t>
  </si>
  <si>
    <t xml:space="preserve">Solving for the threshold</t>
  </si>
  <si>
    <t xml:space="preserve">Value</t>
  </si>
  <si>
    <t xml:space="preserve">Assets at which the two cost the same ($m)</t>
  </si>
  <si>
    <t xml:space="preserve">Cost of each, at that level ($)</t>
  </si>
  <si>
    <t xml:space="preserve">In basis points</t>
  </si>
  <si>
    <t xml:space="preserve">This is the number Chapter 2 gestures at, and it carries three cautions. It is specific to these inputs. It is a cost comparison only, and says nothing about service, control or confidentiality. And it assumes the office is genuinely staffed to do the work — an office of two people is cheaper, and is also not the thing being compared.</t>
  </si>
  <si>
    <t xml:space="preserve">300</t>
  </si>
  <si>
    <t xml:space="preserve">400</t>
  </si>
  <si>
    <t xml:space="preserve">567</t>
  </si>
  <si>
    <t xml:space="preserve">Single-family office ($)</t>
  </si>
  <si>
    <t xml:space="preserve">Multi-family office ($)</t>
  </si>
  <si>
    <t xml:space="preserve">Extra cost of going alone ($)</t>
  </si>
  <si>
    <t xml:space="preserve">Hurdle (bps of net outperformance)</t>
  </si>
  <si>
    <t xml:space="preserve">Forty-two basis points of sustained net outperformance is demanding — roughly what a good manager-selection process might add in a decent year, and it has to be delivered every year, through the cycle, by a five-person team. Three basis points is not demanding at all. Above the crossover the hurdle is negative: the office pays for itself before adding any value.</t>
  </si>
  <si>
    <t xml:space="preserve">What the arithmetic does not settle: confidentiality, control over hiring and reporting, the ability to act without a committee, and the office's role in preparing the next generation. A family building at 300 million is choosing to pay about 29 basis points a year — roughly 870,000 — for those things. That may be excellent value. It is a different decision from believing the office is free, and only one of the two can be defended to the next generation.</t>
  </si>
  <si>
    <t xml:space="preserve">#</t>
  </si>
  <si>
    <t xml:space="preserve">What is tested</t>
  </si>
  <si>
    <t xml:space="preserve">Verdict</t>
  </si>
  <si>
    <t xml:space="preserve">The people cost is salaries plus employer costs plus the bonus pool, and nothing else</t>
  </si>
  <si>
    <t xml:space="preserve">The total is the people cost plus the running cost</t>
  </si>
  <si>
    <t xml:space="preserve">The office reproduces the appendix's 2,442,000</t>
  </si>
  <si>
    <t xml:space="preserve">At 100 million it reproduces the appendix's 244 basis points</t>
  </si>
  <si>
    <t xml:space="preserve">The multi-family office fee at 500 million reproduces 2,275,000</t>
  </si>
  <si>
    <t xml:space="preserve">The crossover reproduces the appendix's 567 million</t>
  </si>
  <si>
    <t xml:space="preserve">At the crossover the multi-family fee equals the office cost</t>
  </si>
  <si>
    <t xml:space="preserve">Below the crossover the multi-family office is cheaper</t>
  </si>
  <si>
    <t xml:space="preserve">Above the crossover the single-family office is cheaper</t>
  </si>
  <si>
    <t xml:space="preserve">The hurdle turns negative once the crossover is passed</t>
  </si>
</sst>
</file>

<file path=xl/styles.xml><?xml version="1.0" encoding="utf-8"?>
<styleSheet xmlns="http://schemas.openxmlformats.org/spreadsheetml/2006/main">
  <numFmts count="5">
    <numFmt numFmtId="164" formatCode="General"/>
    <numFmt numFmtId="165" formatCode="#,##0"/>
    <numFmt numFmtId="166" formatCode="0.0%"/>
    <numFmt numFmtId="167" formatCode="0.0"/>
    <numFmt numFmtId="168" formatCode="0.00%"/>
  </numFmts>
  <fonts count="7">
    <font>
      <sz val="11"/>
      <color theme="1"/>
      <name val="Calibri"/>
      <family val="2"/>
      <charset val="1"/>
    </font>
    <font>
      <sz val="10"/>
      <name val="Arial"/>
      <family val="0"/>
    </font>
    <font>
      <sz val="10"/>
      <name val="Arial"/>
      <family val="0"/>
    </font>
    <font>
      <sz val="10"/>
      <name val="Arial"/>
      <family val="0"/>
    </font>
    <font>
      <b val="true"/>
      <sz val="12"/>
      <color rgb="FF172A42"/>
      <name val="Cambria"/>
      <family val="0"/>
      <charset val="1"/>
    </font>
    <font>
      <b val="true"/>
      <sz val="11"/>
      <color rgb="FFFFFFFF"/>
      <name val="Cambria"/>
      <family val="0"/>
      <charset val="1"/>
    </font>
    <font>
      <b val="true"/>
      <sz val="11"/>
      <color rgb="FF172A42"/>
      <name val="Cambria"/>
      <family val="0"/>
      <charset val="1"/>
    </font>
  </fonts>
  <fills count="5">
    <fill>
      <patternFill patternType="none"/>
    </fill>
    <fill>
      <patternFill patternType="gray125"/>
    </fill>
    <fill>
      <patternFill patternType="solid">
        <fgColor rgb="FF172A42"/>
        <bgColor rgb="FF003366"/>
      </patternFill>
    </fill>
    <fill>
      <patternFill patternType="solid">
        <fgColor rgb="FFFFF3D6"/>
        <bgColor rgb="FFEFF3F8"/>
      </patternFill>
    </fill>
    <fill>
      <patternFill patternType="solid">
        <fgColor rgb="FFEFF3F8"/>
        <bgColor rgb="FFFFFFFF"/>
      </patternFill>
    </fill>
  </fills>
  <borders count="2">
    <border diagonalUp="false" diagonalDown="false">
      <left/>
      <right/>
      <top/>
      <bottom/>
      <diagonal/>
    </border>
    <border diagonalUp="false" diagonalDown="false">
      <left style="thin">
        <color rgb="FFBFC7D2"/>
      </left>
      <right style="thin">
        <color rgb="FFBFC7D2"/>
      </right>
      <top style="thin">
        <color rgb="FFBFC7D2"/>
      </top>
      <bottom style="thin">
        <color rgb="FFBFC7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5" fontId="0" fillId="4" borderId="1" xfId="0" applyFont="fals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8" fontId="0" fillId="3" borderId="1" xfId="0" applyFont="fals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7"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7D2"/>
      <rgbColor rgb="FF808080"/>
      <rgbColor rgb="FF9999FF"/>
      <rgbColor rgb="FF993366"/>
      <rgbColor rgb="FFFFF3D6"/>
      <rgbColor rgb="FFEFF3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72A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5" hidden="false" customHeight="true" outlineLevel="0" collapsed="false">
      <c r="A1" s="1" t="s">
        <v>0</v>
      </c>
    </row>
    <row r="2" customFormat="false" ht="30" hidden="false" customHeight="true" outlineLevel="0" collapsed="false">
      <c r="A2" s="2" t="s">
        <v>1</v>
      </c>
    </row>
    <row r="3" customFormat="false" ht="15" hidden="false" customHeight="true" outlineLevel="0" collapsed="false">
      <c r="A3" s="2"/>
    </row>
    <row r="4" customFormat="false" ht="45" hidden="false" customHeight="true" outlineLevel="0" collapsed="false">
      <c r="A4" s="2" t="s">
        <v>2</v>
      </c>
    </row>
    <row r="5" customFormat="false" ht="15" hidden="false" customHeight="true" outlineLevel="0" collapsed="false">
      <c r="A5" s="2"/>
    </row>
    <row r="6" customFormat="false" ht="15" hidden="false" customHeight="true" outlineLevel="0" collapsed="false">
      <c r="A6" s="1" t="s">
        <v>3</v>
      </c>
    </row>
    <row r="7" customFormat="false" ht="60" hidden="false" customHeight="true" outlineLevel="0" collapsed="false">
      <c r="A7" s="2" t="s">
        <v>4</v>
      </c>
    </row>
    <row r="8" customFormat="false" ht="15" hidden="false" customHeight="true" outlineLevel="0" collapsed="false">
      <c r="A8" s="2"/>
    </row>
    <row r="9" customFormat="false" ht="15" hidden="false" customHeight="true" outlineLevel="0" collapsed="false">
      <c r="A9" s="1" t="s">
        <v>5</v>
      </c>
    </row>
    <row r="10" customFormat="false" ht="60" hidden="false" customHeight="true" outlineLevel="0" collapsed="false">
      <c r="A10" s="2" t="s">
        <v>6</v>
      </c>
    </row>
    <row r="11" customFormat="false" ht="15" hidden="false" customHeight="true" outlineLevel="0" collapsed="false">
      <c r="A11" s="2"/>
    </row>
    <row r="12" customFormat="false" ht="15" hidden="false" customHeight="true" outlineLevel="0" collapsed="false">
      <c r="A12" s="1" t="s">
        <v>7</v>
      </c>
    </row>
    <row r="13" customFormat="false" ht="75" hidden="false" customHeight="true" outlineLevel="0" collapsed="false">
      <c r="A13" s="2" t="s">
        <v>8</v>
      </c>
    </row>
    <row r="14" customFormat="false" ht="15" hidden="false" customHeight="true" outlineLevel="0" collapsed="false">
      <c r="A14" s="2"/>
    </row>
    <row r="15" customFormat="false" ht="30" hidden="false" customHeight="true" outlineLevel="0" collapsed="false">
      <c r="A15" s="2" t="s">
        <v>9</v>
      </c>
    </row>
    <row r="16" customFormat="false" ht="15" hidden="false" customHeight="true" outlineLevel="0" collapsed="false">
      <c r="A16" s="2"/>
    </row>
    <row r="17" customFormat="false" ht="15" hidden="false" customHeight="true" outlineLevel="0" collapsed="false">
      <c r="A17" s="1" t="s">
        <v>10</v>
      </c>
    </row>
    <row r="18" customFormat="false" ht="60" hidden="false" customHeight="true" outlineLevel="0" collapsed="false">
      <c r="A18" s="2" t="s">
        <v>11</v>
      </c>
    </row>
    <row r="19" customFormat="false" ht="15" hidden="false" customHeight="true" outlineLevel="0" collapsed="false">
      <c r="A19" s="2"/>
    </row>
    <row r="20" customFormat="false" ht="15" hidden="false" customHeight="true" outlineLevel="0" collapsed="false">
      <c r="A20" s="1" t="s">
        <v>12</v>
      </c>
    </row>
    <row r="21" customFormat="false" ht="75" hidden="false" customHeight="true" outlineLevel="0" collapsed="false">
      <c r="A21" s="2" t="s">
        <v>13</v>
      </c>
    </row>
    <row r="22" customFormat="false" ht="15" hidden="false" customHeight="true" outlineLevel="0" collapsed="false">
      <c r="A22" s="2"/>
    </row>
    <row r="23" customFormat="false" ht="15" hidden="false" customHeight="true" outlineLevel="0" collapsed="false">
      <c r="A23" s="1" t="s">
        <v>14</v>
      </c>
    </row>
    <row r="24" customFormat="false" ht="15" hidden="false" customHeight="true" outlineLevel="0" collapsed="false">
      <c r="A24" s="2" t="s">
        <v>15</v>
      </c>
    </row>
    <row r="25" customFormat="false" ht="15" hidden="false" customHeight="true" outlineLevel="0" collapsed="false">
      <c r="A25" s="2" t="s">
        <v>16</v>
      </c>
    </row>
    <row r="26" customFormat="false" ht="15" hidden="false" customHeight="true" outlineLevel="0" collapsed="false">
      <c r="A26" s="2" t="s">
        <v>17</v>
      </c>
    </row>
    <row r="27" customFormat="false" ht="15" hidden="false" customHeight="true" outlineLevel="0" collapsed="false">
      <c r="A27" s="2" t="s">
        <v>18</v>
      </c>
    </row>
    <row r="28" customFormat="false" ht="15" hidden="false" customHeight="true" outlineLevel="0" collapsed="false">
      <c r="A28" s="2" t="s">
        <v>19</v>
      </c>
    </row>
    <row r="29" customFormat="false" ht="15" hidden="false" customHeight="true" outlineLevel="0" collapsed="false">
      <c r="A29" s="2" t="s">
        <v>20</v>
      </c>
    </row>
    <row r="30" customFormat="false" ht="15" hidden="false" customHeight="true" outlineLevel="0" collapsed="false">
      <c r="A30" s="2"/>
    </row>
    <row r="31" customFormat="false" ht="15" hidden="false" customHeight="true" outlineLevel="0" collapsed="false">
      <c r="A31" s="2"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22</v>
      </c>
      <c r="B1" s="3" t="s">
        <v>23</v>
      </c>
      <c r="C1" s="3" t="s">
        <v>24</v>
      </c>
    </row>
    <row r="2" customFormat="false" ht="28.35" hidden="false" customHeight="false" outlineLevel="0" collapsed="false">
      <c r="A2" s="4" t="s">
        <v>25</v>
      </c>
      <c r="B2" s="5" t="n">
        <v>450000</v>
      </c>
      <c r="C2" s="6" t="s">
        <v>26</v>
      </c>
    </row>
    <row r="3" customFormat="false" ht="15" hidden="false" customHeight="false" outlineLevel="0" collapsed="false">
      <c r="A3" s="4" t="s">
        <v>27</v>
      </c>
      <c r="B3" s="5" t="n">
        <v>300000</v>
      </c>
      <c r="C3" s="6"/>
    </row>
    <row r="4" customFormat="false" ht="15" hidden="false" customHeight="false" outlineLevel="0" collapsed="false">
      <c r="A4" s="4" t="s">
        <v>28</v>
      </c>
      <c r="B4" s="5" t="n">
        <v>160000</v>
      </c>
      <c r="C4" s="6" t="s">
        <v>29</v>
      </c>
    </row>
    <row r="5" customFormat="false" ht="15" hidden="false" customHeight="false" outlineLevel="0" collapsed="false">
      <c r="A5" s="4" t="s">
        <v>30</v>
      </c>
      <c r="B5" s="5" t="n">
        <v>140000</v>
      </c>
      <c r="C5" s="6"/>
    </row>
    <row r="6" customFormat="false" ht="15" hidden="false" customHeight="false" outlineLevel="0" collapsed="false">
      <c r="A6" s="4" t="s">
        <v>31</v>
      </c>
      <c r="B6" s="5" t="n">
        <v>90000</v>
      </c>
      <c r="C6" s="6"/>
    </row>
    <row r="7" customFormat="false" ht="15" hidden="false" customHeight="false" outlineLevel="0" collapsed="false">
      <c r="A7" s="7" t="s">
        <v>32</v>
      </c>
      <c r="B7" s="8" t="n">
        <f aca="false">SUM(B2:B6)</f>
        <v>1140000</v>
      </c>
      <c r="C7" s="6"/>
    </row>
    <row r="8" customFormat="false" ht="15" hidden="false" customHeight="false" outlineLevel="0" collapsed="false">
      <c r="A8" s="4" t="s">
        <v>33</v>
      </c>
      <c r="B8" s="9" t="n">
        <v>0.25</v>
      </c>
      <c r="C8" s="6" t="s">
        <v>34</v>
      </c>
    </row>
    <row r="9" customFormat="false" ht="15" hidden="false" customHeight="false" outlineLevel="0" collapsed="false">
      <c r="A9" s="4" t="s">
        <v>35</v>
      </c>
      <c r="B9" s="10" t="n">
        <f aca="false">B7*B8</f>
        <v>285000</v>
      </c>
      <c r="C9" s="6"/>
    </row>
    <row r="10" customFormat="false" ht="15" hidden="false" customHeight="false" outlineLevel="0" collapsed="false">
      <c r="A10" s="4" t="s">
        <v>36</v>
      </c>
      <c r="B10" s="9" t="n">
        <v>0.3</v>
      </c>
      <c r="C10" s="6" t="s">
        <v>34</v>
      </c>
    </row>
    <row r="11" customFormat="false" ht="15" hidden="false" customHeight="false" outlineLevel="0" collapsed="false">
      <c r="A11" s="4" t="s">
        <v>35</v>
      </c>
      <c r="B11" s="10" t="n">
        <f aca="false">B7*B10</f>
        <v>342000</v>
      </c>
      <c r="C11" s="6"/>
    </row>
    <row r="12" customFormat="false" ht="15" hidden="false" customHeight="false" outlineLevel="0" collapsed="false">
      <c r="A12" s="7" t="s">
        <v>37</v>
      </c>
      <c r="B12" s="8" t="n">
        <f aca="false">B7+B9+B11</f>
        <v>1767000</v>
      </c>
      <c r="C12" s="6" t="s">
        <v>38</v>
      </c>
    </row>
    <row r="14" customFormat="false" ht="15" hidden="false" customHeight="false" outlineLevel="0" collapsed="false">
      <c r="A14" s="3" t="s">
        <v>39</v>
      </c>
      <c r="B14" s="3" t="s">
        <v>23</v>
      </c>
      <c r="C14" s="3" t="s">
        <v>24</v>
      </c>
    </row>
    <row r="15" customFormat="false" ht="15" hidden="false" customHeight="false" outlineLevel="0" collapsed="false">
      <c r="A15" s="4" t="s">
        <v>40</v>
      </c>
      <c r="B15" s="5" t="n">
        <v>120000</v>
      </c>
      <c r="C15" s="6"/>
    </row>
    <row r="16" customFormat="false" ht="28.35" hidden="false" customHeight="false" outlineLevel="0" collapsed="false">
      <c r="A16" s="4" t="s">
        <v>41</v>
      </c>
      <c r="B16" s="5" t="n">
        <v>145000</v>
      </c>
      <c r="C16" s="6" t="s">
        <v>42</v>
      </c>
    </row>
    <row r="17" customFormat="false" ht="15" hidden="false" customHeight="false" outlineLevel="0" collapsed="false">
      <c r="A17" s="4" t="s">
        <v>43</v>
      </c>
      <c r="B17" s="5" t="n">
        <v>190000</v>
      </c>
      <c r="C17" s="6"/>
    </row>
    <row r="18" customFormat="false" ht="15" hidden="false" customHeight="false" outlineLevel="0" collapsed="false">
      <c r="A18" s="4" t="s">
        <v>44</v>
      </c>
      <c r="B18" s="5" t="n">
        <v>85000</v>
      </c>
      <c r="C18" s="6"/>
    </row>
    <row r="19" customFormat="false" ht="15" hidden="false" customHeight="false" outlineLevel="0" collapsed="false">
      <c r="A19" s="4" t="s">
        <v>45</v>
      </c>
      <c r="B19" s="5" t="n">
        <v>55000</v>
      </c>
      <c r="C19" s="6"/>
    </row>
    <row r="20" customFormat="false" ht="15" hidden="false" customHeight="false" outlineLevel="0" collapsed="false">
      <c r="A20" s="4" t="s">
        <v>46</v>
      </c>
      <c r="B20" s="5" t="n">
        <v>80000</v>
      </c>
      <c r="C20" s="6"/>
    </row>
    <row r="21" customFormat="false" ht="15" hidden="false" customHeight="false" outlineLevel="0" collapsed="false">
      <c r="A21" s="7" t="s">
        <v>47</v>
      </c>
      <c r="B21" s="8" t="n">
        <f aca="false">SUM(B15:B20)</f>
        <v>675000</v>
      </c>
      <c r="C21" s="6" t="s">
        <v>48</v>
      </c>
    </row>
    <row r="23" customFormat="false" ht="15" hidden="false" customHeight="false" outlineLevel="0" collapsed="false">
      <c r="A23" s="7" t="s">
        <v>49</v>
      </c>
      <c r="B23" s="8" t="n">
        <f aca="false">B12+B21</f>
        <v>2442000</v>
      </c>
      <c r="C23" s="6" t="s">
        <v>50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7" min="2" style="0" width="13"/>
  </cols>
  <sheetData>
    <row r="1" customFormat="false" ht="15" hidden="false" customHeight="false" outlineLevel="0" collapsed="false">
      <c r="A1" s="3" t="s">
        <v>51</v>
      </c>
      <c r="B1" s="3" t="s">
        <v>52</v>
      </c>
      <c r="C1" s="3" t="s">
        <v>53</v>
      </c>
      <c r="D1" s="3" t="s">
        <v>54</v>
      </c>
      <c r="E1" s="3" t="s">
        <v>55</v>
      </c>
      <c r="F1" s="3" t="s">
        <v>56</v>
      </c>
      <c r="G1" s="3" t="s">
        <v>57</v>
      </c>
    </row>
    <row r="2" customFormat="false" ht="15" hidden="false" customHeight="false" outlineLevel="0" collapsed="false">
      <c r="A2" s="4" t="s">
        <v>58</v>
      </c>
      <c r="B2" s="10" t="n">
        <f aca="false">'1. The office'!B23</f>
        <v>2442000</v>
      </c>
      <c r="C2" s="10" t="n">
        <f aca="false">'1. The office'!B23</f>
        <v>2442000</v>
      </c>
      <c r="D2" s="10" t="n">
        <f aca="false">'1. The office'!B23</f>
        <v>2442000</v>
      </c>
      <c r="E2" s="10" t="n">
        <f aca="false">'1. The office'!B23</f>
        <v>2442000</v>
      </c>
      <c r="F2" s="10" t="n">
        <f aca="false">'1. The office'!B23</f>
        <v>2442000</v>
      </c>
      <c r="G2" s="10" t="n">
        <f aca="false">'1. The office'!B23</f>
        <v>2442000</v>
      </c>
    </row>
    <row r="3" customFormat="false" ht="15" hidden="false" customHeight="false" outlineLevel="0" collapsed="false">
      <c r="A3" s="7" t="s">
        <v>59</v>
      </c>
      <c r="B3" s="11" t="n">
        <f aca="false">'1. The office'!B23/(100*1000000)*10000</f>
        <v>244.2</v>
      </c>
      <c r="C3" s="11" t="n">
        <f aca="false">'1. The office'!B23/(250*1000000)*10000</f>
        <v>97.68</v>
      </c>
      <c r="D3" s="11" t="n">
        <f aca="false">'1. The office'!B23/(500*1000000)*10000</f>
        <v>48.84</v>
      </c>
      <c r="E3" s="11" t="n">
        <f aca="false">'1. The office'!B23/(750*1000000)*10000</f>
        <v>32.56</v>
      </c>
      <c r="F3" s="11" t="n">
        <f aca="false">'1. The office'!B23/(1000*1000000)*10000</f>
        <v>24.42</v>
      </c>
      <c r="G3" s="11" t="n">
        <f aca="false">'1. The office'!B23/(2000*1000000)*10000</f>
        <v>12.21</v>
      </c>
    </row>
    <row r="5" customFormat="false" ht="149.25" hidden="false" customHeight="false" outlineLevel="0" collapsed="false">
      <c r="A5" s="2" t="s">
        <v>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58"/>
    <col collapsed="false" customWidth="true" hidden="false" outlineLevel="0" max="5" min="4" style="0" width="14"/>
  </cols>
  <sheetData>
    <row r="1" customFormat="false" ht="15" hidden="false" customHeight="false" outlineLevel="0" collapsed="false">
      <c r="A1" s="3" t="s">
        <v>61</v>
      </c>
      <c r="B1" s="3" t="s">
        <v>62</v>
      </c>
      <c r="C1" s="3" t="s">
        <v>63</v>
      </c>
    </row>
    <row r="2" customFormat="false" ht="15" hidden="false" customHeight="false" outlineLevel="0" collapsed="false">
      <c r="A2" s="4" t="s">
        <v>64</v>
      </c>
      <c r="B2" s="12" t="n">
        <v>0.0065</v>
      </c>
      <c r="C2" s="6"/>
    </row>
    <row r="3" customFormat="false" ht="15" hidden="false" customHeight="false" outlineLevel="0" collapsed="false">
      <c r="A3" s="4" t="s">
        <v>65</v>
      </c>
      <c r="B3" s="12" t="n">
        <v>0.005</v>
      </c>
      <c r="C3" s="6" t="s">
        <v>66</v>
      </c>
    </row>
    <row r="4" customFormat="false" ht="15" hidden="false" customHeight="false" outlineLevel="0" collapsed="false">
      <c r="A4" s="4" t="s">
        <v>67</v>
      </c>
      <c r="B4" s="12" t="n">
        <v>0.0035</v>
      </c>
      <c r="C4" s="6" t="s">
        <v>68</v>
      </c>
    </row>
    <row r="5" customFormat="false" ht="15" hidden="false" customHeight="false" outlineLevel="0" collapsed="false">
      <c r="A5" s="4" t="s">
        <v>69</v>
      </c>
      <c r="B5" s="12" t="n">
        <v>0.0025</v>
      </c>
      <c r="C5" s="6" t="s">
        <v>70</v>
      </c>
    </row>
    <row r="7" customFormat="false" ht="15" hidden="false" customHeight="false" outlineLevel="0" collapsed="false">
      <c r="A7" s="3" t="s">
        <v>71</v>
      </c>
      <c r="B7" s="3" t="s">
        <v>72</v>
      </c>
      <c r="C7" s="3" t="s">
        <v>73</v>
      </c>
      <c r="D7" s="3" t="s">
        <v>74</v>
      </c>
    </row>
    <row r="8" customFormat="false" ht="15" hidden="false" customHeight="false" outlineLevel="0" collapsed="false">
      <c r="B8" s="5" t="n">
        <v>100</v>
      </c>
      <c r="C8" s="10" t="n">
        <f aca="false">MIN(B8,100)*1000000*B2+MAX(0,MIN(B8,250)-100)*1000000*B3+MAX(0,MIN(B8,500)-250)*1000000*B4+MAX(0,B8-500)*1000000*B5</f>
        <v>650000</v>
      </c>
      <c r="D8" s="11" t="n">
        <f aca="false">C8/(B8*1000000)*10000</f>
        <v>65</v>
      </c>
    </row>
    <row r="9" customFormat="false" ht="15" hidden="false" customHeight="false" outlineLevel="0" collapsed="false">
      <c r="B9" s="5" t="n">
        <v>250</v>
      </c>
      <c r="C9" s="10" t="n">
        <f aca="false">MIN(B9,100)*1000000*B2+MAX(0,MIN(B9,250)-100)*1000000*B3+MAX(0,MIN(B9,500)-250)*1000000*B4+MAX(0,B9-500)*1000000*B5</f>
        <v>1400000</v>
      </c>
      <c r="D9" s="11" t="n">
        <f aca="false">C9/(B9*1000000)*10000</f>
        <v>56</v>
      </c>
    </row>
    <row r="10" customFormat="false" ht="15" hidden="false" customHeight="false" outlineLevel="0" collapsed="false">
      <c r="B10" s="5" t="n">
        <v>500</v>
      </c>
      <c r="C10" s="10" t="n">
        <f aca="false">MIN(B10,100)*1000000*B2+MAX(0,MIN(B10,250)-100)*1000000*B3+MAX(0,MIN(B10,500)-250)*1000000*B4+MAX(0,B10-500)*1000000*B5</f>
        <v>2275000</v>
      </c>
      <c r="D10" s="11" t="n">
        <f aca="false">C10/(B10*1000000)*10000</f>
        <v>45.5</v>
      </c>
    </row>
    <row r="11" customFormat="false" ht="15" hidden="false" customHeight="false" outlineLevel="0" collapsed="false">
      <c r="B11" s="5" t="n">
        <v>750</v>
      </c>
      <c r="C11" s="10" t="n">
        <f aca="false">MIN(B11,100)*1000000*B2+MAX(0,MIN(B11,250)-100)*1000000*B3+MAX(0,MIN(B11,500)-250)*1000000*B4+MAX(0,B11-500)*1000000*B5</f>
        <v>2900000</v>
      </c>
      <c r="D11" s="11" t="n">
        <f aca="false">C11/(B11*1000000)*10000</f>
        <v>38.6666666666667</v>
      </c>
    </row>
    <row r="12" customFormat="false" ht="15" hidden="false" customHeight="false" outlineLevel="0" collapsed="false">
      <c r="B12" s="5" t="n">
        <v>1000</v>
      </c>
      <c r="C12" s="10" t="n">
        <f aca="false">MIN(B12,100)*1000000*B2+MAX(0,MIN(B12,250)-100)*1000000*B3+MAX(0,MIN(B12,500)-250)*1000000*B4+MAX(0,B12-500)*1000000*B5</f>
        <v>3525000</v>
      </c>
      <c r="D12" s="11" t="n">
        <f aca="false">C12/(B12*1000000)*10000</f>
        <v>35.25</v>
      </c>
    </row>
    <row r="13" customFormat="false" ht="15" hidden="false" customHeight="false" outlineLevel="0" collapsed="false">
      <c r="B13" s="5" t="n">
        <v>2000</v>
      </c>
      <c r="C13" s="10" t="n">
        <f aca="false">MIN(B13,100)*1000000*B2+MAX(0,MIN(B13,250)-100)*1000000*B3+MAX(0,MIN(B13,500)-250)*1000000*B4+MAX(0,B13-500)*1000000*B5</f>
        <v>6025000</v>
      </c>
      <c r="D13" s="11" t="n">
        <f aca="false">C13/(B13*1000000)*10000</f>
        <v>30.125</v>
      </c>
    </row>
    <row r="15" customFormat="false" ht="28.35" hidden="false" customHeight="false" outlineLevel="0" collapsed="false">
      <c r="A15" s="2" t="s">
        <v>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7" min="2" style="0" width="13"/>
  </cols>
  <sheetData>
    <row r="1" customFormat="false" ht="15" hidden="false" customHeight="false" outlineLevel="0" collapsed="false">
      <c r="A1" s="3" t="s">
        <v>51</v>
      </c>
      <c r="B1" s="3" t="s">
        <v>52</v>
      </c>
      <c r="C1" s="3" t="s">
        <v>53</v>
      </c>
      <c r="D1" s="3" t="s">
        <v>54</v>
      </c>
      <c r="E1" s="3" t="s">
        <v>55</v>
      </c>
      <c r="F1" s="3" t="s">
        <v>56</v>
      </c>
      <c r="G1" s="3" t="s">
        <v>57</v>
      </c>
    </row>
    <row r="2" customFormat="false" ht="15" hidden="false" customHeight="false" outlineLevel="0" collapsed="false">
      <c r="A2" s="7" t="s">
        <v>76</v>
      </c>
      <c r="B2" s="11" t="n">
        <f aca="false">'2. Cost in basis points'!B3</f>
        <v>244.2</v>
      </c>
      <c r="C2" s="11" t="n">
        <f aca="false">'2. Cost in basis points'!C3</f>
        <v>97.68</v>
      </c>
      <c r="D2" s="11" t="n">
        <f aca="false">'2. Cost in basis points'!D3</f>
        <v>48.84</v>
      </c>
      <c r="E2" s="11" t="n">
        <f aca="false">'2. Cost in basis points'!E3</f>
        <v>32.56</v>
      </c>
      <c r="F2" s="11" t="n">
        <f aca="false">'2. Cost in basis points'!F3</f>
        <v>24.42</v>
      </c>
      <c r="G2" s="11" t="n">
        <f aca="false">'2. Cost in basis points'!G3</f>
        <v>12.21</v>
      </c>
    </row>
    <row r="3" customFormat="false" ht="15" hidden="false" customHeight="false" outlineLevel="0" collapsed="false">
      <c r="A3" s="7" t="s">
        <v>77</v>
      </c>
      <c r="B3" s="11" t="n">
        <f aca="false">'3. The alternative'!D8</f>
        <v>65</v>
      </c>
      <c r="C3" s="11" t="n">
        <f aca="false">'3. The alternative'!D9</f>
        <v>56</v>
      </c>
      <c r="D3" s="11" t="n">
        <f aca="false">'3. The alternative'!D10</f>
        <v>45.5</v>
      </c>
      <c r="E3" s="11" t="n">
        <f aca="false">'3. The alternative'!D11</f>
        <v>38.6666666666667</v>
      </c>
      <c r="F3" s="11" t="n">
        <f aca="false">'3. The alternative'!D12</f>
        <v>35.25</v>
      </c>
      <c r="G3" s="11" t="n">
        <f aca="false">'3. The alternative'!D13</f>
        <v>30.125</v>
      </c>
    </row>
    <row r="4" customFormat="false" ht="15" hidden="false" customHeight="false" outlineLevel="0" collapsed="false">
      <c r="A4" s="7" t="s">
        <v>78</v>
      </c>
      <c r="B4" s="11" t="n">
        <f aca="false">B2-B3</f>
        <v>179.2</v>
      </c>
      <c r="C4" s="11" t="n">
        <f aca="false">C2-C3</f>
        <v>41.68</v>
      </c>
      <c r="D4" s="11" t="n">
        <f aca="false">D2-D3</f>
        <v>3.34</v>
      </c>
      <c r="E4" s="11" t="n">
        <f aca="false">E2-E3</f>
        <v>-6.10666666666666</v>
      </c>
      <c r="F4" s="11" t="n">
        <f aca="false">F2-F3</f>
        <v>-10.83</v>
      </c>
      <c r="G4" s="11" t="n">
        <f aca="false">G2-G3</f>
        <v>-17.915</v>
      </c>
    </row>
    <row r="5" customFormat="false" ht="15" hidden="false" customHeight="false" outlineLevel="0" collapsed="false">
      <c r="A5" s="4" t="s">
        <v>79</v>
      </c>
      <c r="B5" s="13" t="str">
        <f aca="false">IF(B4&gt;0,"multi-family","single-family")</f>
        <v>multi-family</v>
      </c>
      <c r="C5" s="13" t="str">
        <f aca="false">IF(C4&gt;0,"multi-family","single-family")</f>
        <v>multi-family</v>
      </c>
      <c r="D5" s="13" t="str">
        <f aca="false">IF(D4&gt;0,"multi-family","single-family")</f>
        <v>multi-family</v>
      </c>
      <c r="E5" s="13" t="str">
        <f aca="false">IF(E4&gt;0,"multi-family","single-family")</f>
        <v>single-family</v>
      </c>
      <c r="F5" s="13" t="str">
        <f aca="false">IF(F4&gt;0,"multi-family","single-family")</f>
        <v>single-family</v>
      </c>
      <c r="G5" s="13" t="str">
        <f aca="false">IF(G4&gt;0,"multi-family","single-family")</f>
        <v>single-family</v>
      </c>
    </row>
    <row r="7" customFormat="false" ht="15" hidden="false" customHeight="false" outlineLevel="0" collapsed="false">
      <c r="A7" s="3" t="s">
        <v>80</v>
      </c>
      <c r="B7" s="3" t="s">
        <v>81</v>
      </c>
      <c r="C7" s="3"/>
    </row>
    <row r="8" customFormat="false" ht="15" hidden="false" customHeight="false" outlineLevel="0" collapsed="false">
      <c r="A8" s="4" t="s">
        <v>82</v>
      </c>
      <c r="B8" s="8" t="n">
        <f aca="false">('1. The office'!B23+500*1000000*'3. The alternative'!B5-(100*1000000*'3. The alternative'!B2+150*1000000*'3. The alternative'!B3+250*1000000*'3. The alternative'!B4))/'3. The alternative'!B5/1000000</f>
        <v>566.8</v>
      </c>
    </row>
    <row r="9" customFormat="false" ht="15" hidden="false" customHeight="false" outlineLevel="0" collapsed="false">
      <c r="A9" s="4" t="s">
        <v>83</v>
      </c>
      <c r="B9" s="10" t="n">
        <f aca="false">'1. The office'!B23</f>
        <v>2442000</v>
      </c>
    </row>
    <row r="10" customFormat="false" ht="15" hidden="false" customHeight="false" outlineLevel="0" collapsed="false">
      <c r="A10" s="4" t="s">
        <v>84</v>
      </c>
      <c r="B10" s="11" t="n">
        <f aca="false">'1. The office'!B23/(B8*1000000)*10000</f>
        <v>43.0839802399435</v>
      </c>
    </row>
    <row r="12" customFormat="false" ht="135.8" hidden="false" customHeight="false" outlineLevel="0" collapsed="false">
      <c r="A12" s="2" t="s">
        <v>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8" min="2" style="0" width="12"/>
  </cols>
  <sheetData>
    <row r="1" customFormat="false" ht="15" hidden="false" customHeight="false" outlineLevel="0" collapsed="false">
      <c r="A1" s="3" t="s">
        <v>51</v>
      </c>
      <c r="B1" s="3" t="s">
        <v>53</v>
      </c>
      <c r="C1" s="3" t="s">
        <v>86</v>
      </c>
      <c r="D1" s="3" t="s">
        <v>87</v>
      </c>
      <c r="E1" s="3" t="s">
        <v>54</v>
      </c>
      <c r="F1" s="3" t="s">
        <v>88</v>
      </c>
      <c r="G1" s="3" t="s">
        <v>55</v>
      </c>
      <c r="H1" s="3" t="s">
        <v>56</v>
      </c>
    </row>
    <row r="2" customFormat="false" ht="15" hidden="false" customHeight="false" outlineLevel="0" collapsed="false">
      <c r="A2" s="4" t="s">
        <v>89</v>
      </c>
      <c r="B2" s="10" t="n">
        <f aca="false">'1. The office'!B23</f>
        <v>2442000</v>
      </c>
      <c r="C2" s="10" t="n">
        <f aca="false">'1. The office'!B23</f>
        <v>2442000</v>
      </c>
      <c r="D2" s="10" t="n">
        <f aca="false">'1. The office'!B23</f>
        <v>2442000</v>
      </c>
      <c r="E2" s="10" t="n">
        <f aca="false">'1. The office'!B23</f>
        <v>2442000</v>
      </c>
      <c r="F2" s="10" t="n">
        <f aca="false">'1. The office'!B23</f>
        <v>2442000</v>
      </c>
      <c r="G2" s="10" t="n">
        <f aca="false">'1. The office'!B23</f>
        <v>2442000</v>
      </c>
      <c r="H2" s="10" t="n">
        <f aca="false">'1. The office'!B23</f>
        <v>2442000</v>
      </c>
    </row>
    <row r="3" customFormat="false" ht="15" hidden="false" customHeight="false" outlineLevel="0" collapsed="false">
      <c r="A3" s="4" t="s">
        <v>90</v>
      </c>
      <c r="B3" s="10" t="n">
        <f aca="false">MIN(250,100)*1000000*'3. The alternative'!$B$2+MAX(0,MIN(250,250)-100)*1000000*'3. The alternative'!$B$3+MAX(0,MIN(250,500)-250)*1000000*'3. The alternative'!$B$4+MAX(0,250-500)*1000000*'3. The alternative'!$B$5</f>
        <v>1400000</v>
      </c>
      <c r="C3" s="10" t="n">
        <f aca="false">MIN(300,100)*1000000*'3. The alternative'!$B$2+MAX(0,MIN(300,250)-100)*1000000*'3. The alternative'!$B$3+MAX(0,MIN(300,500)-250)*1000000*'3. The alternative'!$B$4+MAX(0,300-500)*1000000*'3. The alternative'!$B$5</f>
        <v>1575000</v>
      </c>
      <c r="D3" s="10" t="n">
        <f aca="false">MIN(400,100)*1000000*'3. The alternative'!$B$2+MAX(0,MIN(400,250)-100)*1000000*'3. The alternative'!$B$3+MAX(0,MIN(400,500)-250)*1000000*'3. The alternative'!$B$4+MAX(0,400-500)*1000000*'3. The alternative'!$B$5</f>
        <v>1925000</v>
      </c>
      <c r="E3" s="10" t="n">
        <f aca="false">MIN(500,100)*1000000*'3. The alternative'!$B$2+MAX(0,MIN(500,250)-100)*1000000*'3. The alternative'!$B$3+MAX(0,MIN(500,500)-250)*1000000*'3. The alternative'!$B$4+MAX(0,500-500)*1000000*'3. The alternative'!$B$5</f>
        <v>2275000</v>
      </c>
      <c r="F3" s="10" t="n">
        <f aca="false">MIN(567,100)*1000000*'3. The alternative'!$B$2+MAX(0,MIN(567,250)-100)*1000000*'3. The alternative'!$B$3+MAX(0,MIN(567,500)-250)*1000000*'3. The alternative'!$B$4+MAX(0,567-500)*1000000*'3. The alternative'!$B$5</f>
        <v>2442500</v>
      </c>
      <c r="G3" s="10" t="n">
        <f aca="false">MIN(750,100)*1000000*'3. The alternative'!$B$2+MAX(0,MIN(750,250)-100)*1000000*'3. The alternative'!$B$3+MAX(0,MIN(750,500)-250)*1000000*'3. The alternative'!$B$4+MAX(0,750-500)*1000000*'3. The alternative'!$B$5</f>
        <v>2900000</v>
      </c>
      <c r="H3" s="10" t="n">
        <f aca="false">MIN(1000,100)*1000000*'3. The alternative'!$B$2+MAX(0,MIN(1000,250)-100)*1000000*'3. The alternative'!$B$3+MAX(0,MIN(1000,500)-250)*1000000*'3. The alternative'!$B$4+MAX(0,1000-500)*1000000*'3. The alternative'!$B$5</f>
        <v>3525000</v>
      </c>
    </row>
    <row r="4" customFormat="false" ht="15" hidden="false" customHeight="false" outlineLevel="0" collapsed="false">
      <c r="A4" s="7" t="s">
        <v>91</v>
      </c>
      <c r="B4" s="8" t="n">
        <f aca="false">B2-B3</f>
        <v>1042000</v>
      </c>
      <c r="C4" s="8" t="n">
        <f aca="false">C2-C3</f>
        <v>867000</v>
      </c>
      <c r="D4" s="8" t="n">
        <f aca="false">D2-D3</f>
        <v>517000</v>
      </c>
      <c r="E4" s="8" t="n">
        <f aca="false">E2-E3</f>
        <v>167000</v>
      </c>
      <c r="F4" s="8" t="n">
        <f aca="false">F2-F3</f>
        <v>-500</v>
      </c>
      <c r="G4" s="8" t="n">
        <f aca="false">G2-G3</f>
        <v>-458000</v>
      </c>
      <c r="H4" s="8" t="n">
        <f aca="false">H2-H3</f>
        <v>-1083000</v>
      </c>
    </row>
    <row r="5" customFormat="false" ht="15" hidden="false" customHeight="false" outlineLevel="0" collapsed="false">
      <c r="A5" s="7" t="s">
        <v>92</v>
      </c>
      <c r="B5" s="11" t="n">
        <f aca="false">B4/(250*1000000)*10000</f>
        <v>41.68</v>
      </c>
      <c r="C5" s="11" t="n">
        <f aca="false">C4/(300*1000000)*10000</f>
        <v>28.9</v>
      </c>
      <c r="D5" s="11" t="n">
        <f aca="false">D4/(400*1000000)*10000</f>
        <v>12.925</v>
      </c>
      <c r="E5" s="11" t="n">
        <f aca="false">E4/(500*1000000)*10000</f>
        <v>3.34</v>
      </c>
      <c r="F5" s="11" t="n">
        <f aca="false">F4/(567*1000000)*10000</f>
        <v>-0.00881834215167549</v>
      </c>
      <c r="G5" s="11" t="n">
        <f aca="false">G4/(750*1000000)*10000</f>
        <v>-6.10666666666667</v>
      </c>
      <c r="H5" s="11" t="n">
        <f aca="false">H4/(1000*1000000)*10000</f>
        <v>-10.83</v>
      </c>
    </row>
    <row r="7" customFormat="false" ht="135.8" hidden="false" customHeight="false" outlineLevel="0" collapsed="false">
      <c r="A7" s="2" t="s">
        <v>93</v>
      </c>
    </row>
    <row r="10" customFormat="false" ht="162.65" hidden="false" customHeight="false" outlineLevel="0" collapsed="false">
      <c r="A10" s="2" t="s">
        <v>94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62"/>
    <col collapsed="false" customWidth="true" hidden="false" outlineLevel="0" max="3" min="3" style="0" width="20"/>
    <col collapsed="false" customWidth="true" hidden="false" outlineLevel="0" max="4" min="4" style="0" width="14"/>
  </cols>
  <sheetData>
    <row r="1" customFormat="false" ht="15" hidden="false" customHeight="false" outlineLevel="0" collapsed="false">
      <c r="A1" s="3" t="s">
        <v>95</v>
      </c>
      <c r="B1" s="3" t="s">
        <v>96</v>
      </c>
      <c r="C1" s="3" t="s">
        <v>81</v>
      </c>
      <c r="D1" s="3" t="s">
        <v>97</v>
      </c>
    </row>
    <row r="2" customFormat="false" ht="28.35" hidden="false" customHeight="false" outlineLevel="0" collapsed="false">
      <c r="A2" s="4" t="n">
        <v>1</v>
      </c>
      <c r="B2" s="6" t="s">
        <v>98</v>
      </c>
      <c r="C2" s="14" t="n">
        <f aca="false">'1. The office'!B12-('1. The office'!B7+'1. The office'!B9+'1. The office'!B11)</f>
        <v>0</v>
      </c>
      <c r="D2" s="7" t="str">
        <f aca="false">IF(ABS(C2)&lt;1,"PASS","FAIL")</f>
        <v>PASS</v>
      </c>
    </row>
    <row r="3" customFormat="false" ht="15" hidden="false" customHeight="false" outlineLevel="0" collapsed="false">
      <c r="A3" s="4" t="n">
        <v>2</v>
      </c>
      <c r="B3" s="6" t="s">
        <v>99</v>
      </c>
      <c r="C3" s="14" t="n">
        <f aca="false">'1. The office'!B23-('1. The office'!B12+'1. The office'!B21)</f>
        <v>0</v>
      </c>
      <c r="D3" s="7" t="str">
        <f aca="false">IF(ABS(C3)&lt;1,"PASS","FAIL")</f>
        <v>PASS</v>
      </c>
    </row>
    <row r="4" customFormat="false" ht="15" hidden="false" customHeight="false" outlineLevel="0" collapsed="false">
      <c r="A4" s="4" t="n">
        <v>3</v>
      </c>
      <c r="B4" s="6" t="s">
        <v>100</v>
      </c>
      <c r="C4" s="14" t="n">
        <f aca="false">'1. The office'!B23-2442000</f>
        <v>0</v>
      </c>
      <c r="D4" s="7" t="str">
        <f aca="false">IF(ABS(C4)&lt;1,"PASS","FAIL")</f>
        <v>PASS</v>
      </c>
    </row>
    <row r="5" customFormat="false" ht="15" hidden="false" customHeight="false" outlineLevel="0" collapsed="false">
      <c r="A5" s="4" t="n">
        <v>4</v>
      </c>
      <c r="B5" s="6" t="s">
        <v>101</v>
      </c>
      <c r="C5" s="15" t="n">
        <f aca="false">'2. Cost in basis points'!B3-244.2</f>
        <v>0</v>
      </c>
      <c r="D5" s="7" t="str">
        <f aca="false">IF(ABS(C5)&lt;0.5,"PASS","FAIL")</f>
        <v>PASS</v>
      </c>
    </row>
    <row r="6" customFormat="false" ht="15" hidden="false" customHeight="false" outlineLevel="0" collapsed="false">
      <c r="A6" s="4" t="n">
        <v>5</v>
      </c>
      <c r="B6" s="6" t="s">
        <v>102</v>
      </c>
      <c r="C6" s="14" t="n">
        <f aca="false">'3. The alternative'!C10-2275000</f>
        <v>0</v>
      </c>
      <c r="D6" s="7" t="str">
        <f aca="false">IF(ABS(C6)&lt;1,"PASS","FAIL")</f>
        <v>PASS</v>
      </c>
    </row>
    <row r="7" customFormat="false" ht="15" hidden="false" customHeight="false" outlineLevel="0" collapsed="false">
      <c r="A7" s="4" t="n">
        <v>6</v>
      </c>
      <c r="B7" s="6" t="s">
        <v>103</v>
      </c>
      <c r="C7" s="14" t="n">
        <f aca="false">'4. The crossover'!B8-567</f>
        <v>-0.200000000000045</v>
      </c>
      <c r="D7" s="7" t="str">
        <f aca="false">IF(ABS(C7)&lt;2,"PASS","FAIL")</f>
        <v>PASS</v>
      </c>
    </row>
    <row r="8" customFormat="false" ht="15" hidden="false" customHeight="false" outlineLevel="0" collapsed="false">
      <c r="A8" s="4" t="n">
        <v>7</v>
      </c>
      <c r="B8" s="6" t="s">
        <v>104</v>
      </c>
      <c r="C8" s="14" t="n">
        <f aca="false">(MIN('4. The crossover'!B8,100)*1000000*'3. The alternative'!B2+MAX(0,MIN('4. The crossover'!B8,250)-100)*1000000*'3. The alternative'!B3+MAX(0,MIN('4. The crossover'!B8,500)-250)*1000000*'3. The alternative'!B4+MAX(0,'4. The crossover'!B8-500)*1000000*'3. The alternative'!B5)-'4. The crossover'!B9</f>
        <v>0</v>
      </c>
      <c r="D8" s="7" t="str">
        <f aca="false">IF(ABS(C8)&lt;2000,"PASS","FAIL")</f>
        <v>PASS</v>
      </c>
    </row>
    <row r="9" customFormat="false" ht="15" hidden="false" customHeight="false" outlineLevel="0" collapsed="false">
      <c r="A9" s="4" t="n">
        <v>8</v>
      </c>
      <c r="B9" s="6" t="s">
        <v>105</v>
      </c>
      <c r="C9" s="15" t="n">
        <f aca="false">'4. The crossover'!C4</f>
        <v>41.68</v>
      </c>
      <c r="D9" s="7" t="str">
        <f aca="false">IF(C9&gt;0,"PASS","FAIL")</f>
        <v>PASS</v>
      </c>
    </row>
    <row r="10" customFormat="false" ht="15" hidden="false" customHeight="false" outlineLevel="0" collapsed="false">
      <c r="A10" s="4" t="n">
        <v>9</v>
      </c>
      <c r="B10" s="6" t="s">
        <v>106</v>
      </c>
      <c r="C10" s="15" t="n">
        <f aca="false">'4. The crossover'!E4</f>
        <v>-6.10666666666666</v>
      </c>
      <c r="D10" s="7" t="str">
        <f aca="false">IF(C10&lt;0,"PASS","FAIL")</f>
        <v>PASS</v>
      </c>
    </row>
    <row r="11" customFormat="false" ht="15" hidden="false" customHeight="false" outlineLevel="0" collapsed="false">
      <c r="A11" s="4" t="n">
        <v>10</v>
      </c>
      <c r="B11" s="6" t="s">
        <v>107</v>
      </c>
      <c r="C11" s="15" t="n">
        <f aca="false">'5. The hurdle'!G5</f>
        <v>-6.10666666666667</v>
      </c>
      <c r="D11" s="7" t="str">
        <f aca="false">IF(C11&lt;0,"PASS","FAIL")</f>
        <v>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2026-08-22T03:30:56Z</dcterms:created>
  <dc:creator>openpyxl</dc:creator>
  <dc:description/>
  <dc:language>en-US</dc:language>
  <cp:lastModifiedBy/>
  <dcterms:modified xsi:type="dcterms:W3CDTF">2026-09-22T17:01:35Z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