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Accuracy" sheetId="2" state="visible" r:id="rId4"/>
    <sheet name="Reforecast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<sst xmlns="http://schemas.openxmlformats.org/spreadsheetml/2006/main" count="119" uniqueCount="109">
  <si>
    <t xml:space="preserve">Forecast Accuracy - Inputs</t>
  </si>
  <si>
    <t xml:space="preserve">Error of the forecast made at the start of each quarter, against that quarter's actual revenue. Positive means the forecast was high.</t>
  </si>
  <si>
    <t xml:space="preserve">Observation</t>
  </si>
  <si>
    <t xml:space="preserve">Error</t>
  </si>
  <si>
    <t xml:space="preserve">computed: the July forecast against the actual, rows 19 and 20</t>
  </si>
  <si>
    <t xml:space="preserve">add later observations here: every statistic counts what is filled</t>
  </si>
  <si>
    <t xml:space="preserve">Fourth-quarter forecast, as submitted</t>
  </si>
  <si>
    <t xml:space="preserve">Third-quarter actual revenue</t>
  </si>
  <si>
    <t xml:space="preserve">July forecast for the third quarter</t>
  </si>
  <si>
    <t xml:space="preserve">The year (Chapter 10)</t>
  </si>
  <si>
    <t xml:space="preserve">Revenue, first three quarters, actual</t>
  </si>
  <si>
    <t xml:space="preserve">Gross profit, first three quarters, actual</t>
  </si>
  <si>
    <t xml:space="preserve">Third-quarter gross profit, actual</t>
  </si>
  <si>
    <t xml:space="preserve">Budget revenue, full year</t>
  </si>
  <si>
    <t xml:space="preserve">Budget gross profit, full year</t>
  </si>
  <si>
    <t xml:space="preserve">Budget operating expense, full year</t>
  </si>
  <si>
    <t xml:space="preserve">Fourth-quarter budget revenue</t>
  </si>
  <si>
    <t xml:space="preserve">Third-quarter operating expense over budget</t>
  </si>
  <si>
    <t xml:space="preserve">Measuring the forecast, not the business</t>
  </si>
  <si>
    <t xml:space="preserve">A forecast that is merely noisy is a forecast. One whose mean error is not zero is a target.</t>
  </si>
  <si>
    <t xml:space="preserve">Observations</t>
  </si>
  <si>
    <t xml:space="preserve">Of which the forecast was high</t>
  </si>
  <si>
    <t xml:space="preserve">Mean error (the bias)</t>
  </si>
  <si>
    <t xml:space="preserve">Sample standard deviation (the noise)</t>
  </si>
  <si>
    <t xml:space="preserve">Ratio of bias to noise</t>
  </si>
  <si>
    <t xml:space="preserve">Standard error of the mean</t>
  </si>
  <si>
    <t xml:space="preserve">Mean absolute error, as submitted</t>
  </si>
  <si>
    <t xml:space="preserve">Mean absolute error, after subtracting the bias</t>
  </si>
  <si>
    <t xml:space="preserve">Improvement, from one subtraction and no new information</t>
  </si>
  <si>
    <t xml:space="preserve">Corrected for the measured bias</t>
  </si>
  <si>
    <t xml:space="preserve">The correction</t>
  </si>
  <si>
    <t xml:space="preserve">One standard error high</t>
  </si>
  <si>
    <t xml:space="preserve">One standard error low</t>
  </si>
  <si>
    <t xml:space="preserve">Spread of the one-standard-error band</t>
  </si>
  <si>
    <t xml:space="preserve">Eight observations is a thin sample. The band above is the honest width of the correction, and it is roughly three quarters of the correction itself.</t>
  </si>
  <si>
    <t xml:space="preserve">The rounded coefficient, and the band (Chapter 11)</t>
  </si>
  <si>
    <t xml:space="preserve">Mean error rounded to four decimals of a per cent</t>
  </si>
  <si>
    <t xml:space="preserve">Fourth quarter corrected on it</t>
  </si>
  <si>
    <t xml:space="preserve">  lower than the exact correction by</t>
  </si>
  <si>
    <t xml:space="preserve">Mean error in the third quarter's money</t>
  </si>
  <si>
    <t xml:space="preserve">Bias one standard error below the mean</t>
  </si>
  <si>
    <t xml:space="preserve">Bias one standard error above the mean</t>
  </si>
  <si>
    <t xml:space="preserve">The band as a share of the correction</t>
  </si>
  <si>
    <t xml:space="preserve">Absolute</t>
  </si>
  <si>
    <t xml:space="preserve">Absolute, less the mean</t>
  </si>
  <si>
    <t xml:space="preserve">Rows 18 and 19 correct at the bias one standard error either side, unrounded. The book first printed 233,339,924.86 and 230,078,694.71, a band of 3,261,230.15, from rates rounded to four decimals (and 2.5736 for 2.5735).</t>
  </si>
  <si>
    <t xml:space="preserve">The full-year reforecast on the third quarter (Chapter 10)</t>
  </si>
  <si>
    <t xml:space="preserve">Two assumptions carry it: the third quarter's margin carried forward, and operating expense held at the full-year budget.</t>
  </si>
  <si>
    <t xml:space="preserve">Third-quarter gross margin</t>
  </si>
  <si>
    <t xml:space="preserve">Fourth-quarter revenue as submitted</t>
  </si>
  <si>
    <t xml:space="preserve">  above the fourth-quarter budget by</t>
  </si>
  <si>
    <t xml:space="preserve">Full-year revenue</t>
  </si>
  <si>
    <t xml:space="preserve">  above budget by</t>
  </si>
  <si>
    <t xml:space="preserve">Fourth-quarter gross profit at the third quarter's margin</t>
  </si>
  <si>
    <t xml:space="preserve">Full-year gross profit</t>
  </si>
  <si>
    <t xml:space="preserve">Full-year gross margin</t>
  </si>
  <si>
    <t xml:space="preserve">Gross profit against budget</t>
  </si>
  <si>
    <t xml:space="preserve">EBIT, operating expense held at the full-year budget</t>
  </si>
  <si>
    <t xml:space="preserve">Budget EBIT</t>
  </si>
  <si>
    <t xml:space="preserve">EBIT against budget</t>
  </si>
  <si>
    <t xml:space="preserve">  per cent</t>
  </si>
  <si>
    <t xml:space="preserve">The largest assumption, flexed</t>
  </si>
  <si>
    <t xml:space="preserve">Budget margin rounded to four decimals of a per cent</t>
  </si>
  <si>
    <t xml:space="preserve">Fourth-quarter gross profit at it</t>
  </si>
  <si>
    <t xml:space="preserve">EBIT</t>
  </si>
  <si>
    <t xml:space="preserve">Fourth-quarter gross profit at the exact budget margin</t>
  </si>
  <si>
    <t xml:space="preserve">The rounding, on each line</t>
  </si>
  <si>
    <t xml:space="preserve">Thresholds the submission does not print</t>
  </si>
  <si>
    <t xml:space="preserve">Fourth-quarter margin at which the year meets budget EBIT</t>
  </si>
  <si>
    <t xml:space="preserve">  the same on the de-biased fourth quarter</t>
  </si>
  <si>
    <t xml:space="preserve">EBIT on the de-biased fourth quarter at the third quarter's margin</t>
  </si>
  <si>
    <t xml:space="preserve">EBIT if the third-quarter overrun is not given back</t>
  </si>
  <si>
    <t xml:space="preserve">The July gap as a share of the forecast (Chapter 10)</t>
  </si>
  <si>
    <t xml:space="preserve">Rows 29 to 32 are not in the book; Case 2 in the Cases folder works them through.</t>
  </si>
  <si>
    <t xml:space="preserve">Checks</t>
  </si>
  <si>
    <t xml:space="preserve">The figure printed in the book, beside the figure this workbook computes. Every difference must be zero: a money amount to half a cent, a ratio to the sixth decimal.</t>
  </si>
  <si>
    <t xml:space="preserve">What the book prints</t>
  </si>
  <si>
    <t xml:space="preserve">Printed</t>
  </si>
  <si>
    <t xml:space="preserve">Computed here</t>
  </si>
  <si>
    <t xml:space="preserve">Difference</t>
  </si>
  <si>
    <t xml:space="preserve">Status</t>
  </si>
  <si>
    <t xml:space="preserve">Mean forecast error</t>
  </si>
  <si>
    <t xml:space="preserve">Sample standard deviation</t>
  </si>
  <si>
    <t xml:space="preserve">Mean absolute error, de-biased</t>
  </si>
  <si>
    <t xml:space="preserve">Improvement from one subtraction</t>
  </si>
  <si>
    <t xml:space="preserve">Fourth quarter corrected for the bias</t>
  </si>
  <si>
    <t xml:space="preserve">The eighth observation, computed</t>
  </si>
  <si>
    <t xml:space="preserve">Observations counted</t>
  </si>
  <si>
    <t xml:space="preserve">Of which high</t>
  </si>
  <si>
    <t xml:space="preserve">Corrected at one standard error below the bias (revised: the book printed 233,339,924.86)</t>
  </si>
  <si>
    <t xml:space="preserve">Corrected at one standard error above (revised: the book printed 230,078,694.71)</t>
  </si>
  <si>
    <t xml:space="preserve">The band (revised: the book printed 3,261,230.15)</t>
  </si>
  <si>
    <t xml:space="preserve">Bias one standard error below</t>
  </si>
  <si>
    <t xml:space="preserve">Bias one standard error above (revised: 2.5735, not 2.5736)</t>
  </si>
  <si>
    <t xml:space="preserve">Corrected on the rounded coefficient</t>
  </si>
  <si>
    <t xml:space="preserve">  difference, 108.95</t>
  </si>
  <si>
    <t xml:space="preserve">Mean error in the quarter's money</t>
  </si>
  <si>
    <t xml:space="preserve">Chapter 10: full-year revenue</t>
  </si>
  <si>
    <t xml:space="preserve">Chapter 10: full-year gross profit</t>
  </si>
  <si>
    <t xml:space="preserve">Chapter 10: full-year margin</t>
  </si>
  <si>
    <t xml:space="preserve">Chapter 10: fourth-quarter gross profit</t>
  </si>
  <si>
    <t xml:space="preserve">Chapter 10: EBIT</t>
  </si>
  <si>
    <t xml:space="preserve">Chapter 10: EBIT against budget</t>
  </si>
  <si>
    <t xml:space="preserve">Chapter 10: per cent</t>
  </si>
  <si>
    <t xml:space="preserve">Chapter 10: at the rounded budget margin, EBIT</t>
  </si>
  <si>
    <t xml:space="preserve">Chapter 10: at the exact budget margin, EBIT</t>
  </si>
  <si>
    <t xml:space="preserve">Chapter 10: the rounding</t>
  </si>
  <si>
    <t xml:space="preserve">Chapter 10: the July gap on the forecast</t>
  </si>
  <si>
    <t xml:space="preserve">All checks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</si>
</sst>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\-#,##0"/>
    <numFmt numFmtId="166" formatCode="0.0000%"/>
    <numFmt numFmtId="167" formatCode="0.0000\x"/>
    <numFmt numFmtId="168" formatCode="#,##0.00;[RED]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n">
        <v>1</v>
      </c>
      <c r="B5" s="5" t="n">
        <v>0.018</v>
      </c>
    </row>
    <row r="6" customFormat="false" ht="15" hidden="false" customHeight="false" outlineLevel="0" collapsed="false">
      <c r="A6" s="4" t="n">
        <v>2</v>
      </c>
      <c r="B6" s="5" t="n">
        <v>0.034</v>
      </c>
    </row>
    <row r="7" customFormat="false" ht="15" hidden="false" customHeight="false" outlineLevel="0" collapsed="false">
      <c r="A7" s="4" t="n">
        <v>3</v>
      </c>
      <c r="B7" s="5" t="n">
        <v>-0.009</v>
      </c>
    </row>
    <row r="8" customFormat="false" ht="15" hidden="false" customHeight="false" outlineLevel="0" collapsed="false">
      <c r="A8" s="4" t="n">
        <v>4</v>
      </c>
      <c r="B8" s="5" t="n">
        <v>0.046</v>
      </c>
    </row>
    <row r="9" customFormat="false" ht="15" hidden="false" customHeight="false" outlineLevel="0" collapsed="false">
      <c r="A9" s="4" t="n">
        <v>5</v>
      </c>
      <c r="B9" s="5" t="n">
        <v>0.022</v>
      </c>
    </row>
    <row r="10" customFormat="false" ht="15" hidden="false" customHeight="false" outlineLevel="0" collapsed="false">
      <c r="A10" s="4" t="n">
        <v>6</v>
      </c>
      <c r="B10" s="5" t="n">
        <v>-0.013</v>
      </c>
    </row>
    <row r="11" customFormat="false" ht="15" hidden="false" customHeight="false" outlineLevel="0" collapsed="false">
      <c r="A11" s="4" t="n">
        <v>7</v>
      </c>
      <c r="B11" s="5" t="n">
        <v>0.029</v>
      </c>
    </row>
    <row r="12" customFormat="false" ht="15" hidden="false" customHeight="false" outlineLevel="0" collapsed="false">
      <c r="A12" s="4" t="n">
        <v>8</v>
      </c>
      <c r="B12" s="6" t="n">
        <f aca="false">(B20-B19)/B19</f>
        <v>0.0215401682536748</v>
      </c>
      <c r="C12" s="7" t="s">
        <v>4</v>
      </c>
    </row>
    <row r="13" customFormat="false" ht="15" hidden="false" customHeight="false" outlineLevel="0" collapsed="false">
      <c r="A13" s="8" t="n">
        <v>9</v>
      </c>
      <c r="B13" s="5"/>
      <c r="C13" s="7" t="s">
        <v>5</v>
      </c>
    </row>
    <row r="14" customFormat="false" ht="15" hidden="false" customHeight="false" outlineLevel="0" collapsed="false">
      <c r="A14" s="8" t="n">
        <v>10</v>
      </c>
      <c r="B14" s="9"/>
    </row>
    <row r="15" customFormat="false" ht="15" hidden="false" customHeight="false" outlineLevel="0" collapsed="false">
      <c r="A15" s="8" t="n">
        <v>11</v>
      </c>
      <c r="B15" s="5"/>
    </row>
    <row r="16" customFormat="false" ht="15" hidden="false" customHeight="false" outlineLevel="0" collapsed="false">
      <c r="A16" s="8" t="n">
        <v>12</v>
      </c>
      <c r="B16" s="5"/>
    </row>
    <row r="18" customFormat="false" ht="15" hidden="false" customHeight="false" outlineLevel="0" collapsed="false">
      <c r="A18" s="8" t="s">
        <v>6</v>
      </c>
      <c r="B18" s="10" t="n">
        <v>236000000</v>
      </c>
    </row>
    <row r="19" customFormat="false" ht="15" hidden="false" customHeight="false" outlineLevel="0" collapsed="false">
      <c r="A19" s="8" t="s">
        <v>7</v>
      </c>
      <c r="B19" s="11" t="n">
        <v>216340000</v>
      </c>
    </row>
    <row r="20" customFormat="false" ht="15" hidden="false" customHeight="false" outlineLevel="0" collapsed="false">
      <c r="A20" s="8" t="s">
        <v>8</v>
      </c>
      <c r="B20" s="11" t="n">
        <v>221000000</v>
      </c>
    </row>
    <row r="22" customFormat="false" ht="15" hidden="false" customHeight="false" outlineLevel="0" collapsed="false">
      <c r="A22" s="12" t="s">
        <v>9</v>
      </c>
    </row>
    <row r="23" customFormat="false" ht="15" hidden="false" customHeight="false" outlineLevel="0" collapsed="false">
      <c r="A23" s="8" t="s">
        <v>10</v>
      </c>
      <c r="B23" s="11" t="n">
        <v>616340000</v>
      </c>
    </row>
    <row r="24" customFormat="false" ht="15" hidden="false" customHeight="false" outlineLevel="0" collapsed="false">
      <c r="A24" s="8" t="s">
        <v>11</v>
      </c>
      <c r="B24" s="11" t="n">
        <v>276413000</v>
      </c>
    </row>
    <row r="25" customFormat="false" ht="15" hidden="false" customHeight="false" outlineLevel="0" collapsed="false">
      <c r="A25" s="8" t="s">
        <v>12</v>
      </c>
      <c r="B25" s="11" t="n">
        <v>92187200</v>
      </c>
    </row>
    <row r="26" customFormat="false" ht="15" hidden="false" customHeight="false" outlineLevel="0" collapsed="false">
      <c r="A26" s="8" t="s">
        <v>13</v>
      </c>
      <c r="B26" s="11" t="n">
        <v>840000000</v>
      </c>
    </row>
    <row r="27" customFormat="false" ht="15" hidden="false" customHeight="false" outlineLevel="0" collapsed="false">
      <c r="A27" s="8" t="s">
        <v>14</v>
      </c>
      <c r="B27" s="11" t="n">
        <v>383152000</v>
      </c>
    </row>
    <row r="28" customFormat="false" ht="15" hidden="false" customHeight="false" outlineLevel="0" collapsed="false">
      <c r="A28" s="8" t="s">
        <v>15</v>
      </c>
      <c r="B28" s="11" t="n">
        <v>290000000</v>
      </c>
    </row>
    <row r="29" customFormat="false" ht="15" hidden="false" customHeight="false" outlineLevel="0" collapsed="false">
      <c r="A29" s="8" t="s">
        <v>16</v>
      </c>
      <c r="B29" s="11" t="n">
        <v>230000000</v>
      </c>
    </row>
    <row r="30" customFormat="false" ht="15" hidden="false" customHeight="false" outlineLevel="0" collapsed="false">
      <c r="A30" s="8" t="s">
        <v>17</v>
      </c>
      <c r="B30" s="11" t="n">
        <v>200000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2"/>
  </cols>
  <sheetData>
    <row r="1" customFormat="false" ht="16.1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false" outlineLevel="0" collapsed="false">
      <c r="A4" s="8" t="s">
        <v>20</v>
      </c>
      <c r="B4" s="4" t="n">
        <f aca="false">COUNT(Inputs!B5:B16)</f>
        <v>8</v>
      </c>
    </row>
    <row r="5" customFormat="false" ht="15" hidden="false" customHeight="false" outlineLevel="0" collapsed="false">
      <c r="A5" s="8" t="s">
        <v>21</v>
      </c>
      <c r="B5" s="4" t="n">
        <f aca="false">COUNTIF(Inputs!B5:B16,"&gt;0")</f>
        <v>6</v>
      </c>
    </row>
    <row r="6" customFormat="false" ht="15" hidden="false" customHeight="false" outlineLevel="0" collapsed="false">
      <c r="A6" s="12" t="s">
        <v>22</v>
      </c>
      <c r="B6" s="13" t="n">
        <f aca="false">AVERAGE(Inputs!B5:B16)</f>
        <v>0.0185675210317093</v>
      </c>
    </row>
    <row r="7" customFormat="false" ht="15" hidden="false" customHeight="false" outlineLevel="0" collapsed="false">
      <c r="A7" s="12" t="s">
        <v>23</v>
      </c>
      <c r="B7" s="13" t="n">
        <f aca="false">STDEV(Inputs!B5:B16)</f>
        <v>0.0202729804359429</v>
      </c>
    </row>
    <row r="8" customFormat="false" ht="15" hidden="false" customHeight="false" outlineLevel="0" collapsed="false">
      <c r="A8" s="12" t="s">
        <v>24</v>
      </c>
      <c r="B8" s="14" t="n">
        <f aca="false">B6/B7</f>
        <v>0.915875250330244</v>
      </c>
    </row>
    <row r="9" customFormat="false" ht="15" hidden="false" customHeight="false" outlineLevel="0" collapsed="false">
      <c r="A9" s="8" t="s">
        <v>25</v>
      </c>
      <c r="B9" s="6" t="n">
        <f aca="false">B7/SQRT(B4)</f>
        <v>0.00716758097055872</v>
      </c>
    </row>
    <row r="11" customFormat="false" ht="15" hidden="false" customHeight="false" outlineLevel="0" collapsed="false">
      <c r="A11" s="8" t="s">
        <v>26</v>
      </c>
      <c r="B11" s="6" t="n">
        <f aca="false">AVERAGE(C35:C46)</f>
        <v>0.0240675210317093</v>
      </c>
    </row>
    <row r="12" customFormat="false" ht="15" hidden="false" customHeight="false" outlineLevel="0" collapsed="false">
      <c r="A12" s="8" t="s">
        <v>27</v>
      </c>
      <c r="B12" s="6" t="n">
        <f aca="false">AVERAGE(D35:D46)</f>
        <v>0.014925640773782</v>
      </c>
    </row>
    <row r="13" customFormat="false" ht="15" hidden="false" customHeight="false" outlineLevel="0" collapsed="false">
      <c r="A13" s="12" t="s">
        <v>28</v>
      </c>
      <c r="B13" s="13" t="n">
        <f aca="false">(B11-B12)/B11</f>
        <v>0.379843036010346</v>
      </c>
    </row>
    <row r="15" customFormat="false" ht="15" hidden="false" customHeight="false" outlineLevel="0" collapsed="false">
      <c r="A15" s="8" t="s">
        <v>6</v>
      </c>
      <c r="B15" s="15" t="n">
        <f aca="false">Inputs!B18</f>
        <v>236000000</v>
      </c>
    </row>
    <row r="16" customFormat="false" ht="15" hidden="false" customHeight="false" outlineLevel="0" collapsed="false">
      <c r="A16" s="12" t="s">
        <v>29</v>
      </c>
      <c r="B16" s="16" t="n">
        <f aca="false">B15/(1+B6)</f>
        <v>231697943.559947</v>
      </c>
    </row>
    <row r="17" customFormat="false" ht="15" hidden="false" customHeight="false" outlineLevel="0" collapsed="false">
      <c r="A17" s="8" t="s">
        <v>30</v>
      </c>
      <c r="B17" s="15" t="n">
        <f aca="false">B15-B16</f>
        <v>4302056.44005311</v>
      </c>
    </row>
    <row r="18" customFormat="false" ht="15" hidden="false" customHeight="false" outlineLevel="0" collapsed="false">
      <c r="A18" s="8" t="s">
        <v>31</v>
      </c>
      <c r="B18" s="15" t="n">
        <f aca="false">B15/(1+B6-B9)</f>
        <v>233339938.685117</v>
      </c>
    </row>
    <row r="19" customFormat="false" ht="15" hidden="false" customHeight="false" outlineLevel="0" collapsed="false">
      <c r="A19" s="8" t="s">
        <v>32</v>
      </c>
      <c r="B19" s="15" t="n">
        <f aca="false">B15/(1+B6+B9)</f>
        <v>230078896.139286</v>
      </c>
    </row>
    <row r="20" customFormat="false" ht="15" hidden="false" customHeight="false" outlineLevel="0" collapsed="false">
      <c r="A20" s="12" t="s">
        <v>33</v>
      </c>
      <c r="B20" s="16" t="n">
        <f aca="false">B18-B19</f>
        <v>3261042.54583085</v>
      </c>
    </row>
    <row r="22" customFormat="false" ht="15" hidden="false" customHeight="false" outlineLevel="0" collapsed="false">
      <c r="A22" s="2" t="s">
        <v>34</v>
      </c>
    </row>
    <row r="24" customFormat="false" ht="15" hidden="false" customHeight="false" outlineLevel="0" collapsed="false">
      <c r="A24" s="12" t="s">
        <v>35</v>
      </c>
    </row>
    <row r="25" customFormat="false" ht="15" hidden="false" customHeight="false" outlineLevel="0" collapsed="false">
      <c r="A25" s="8" t="s">
        <v>36</v>
      </c>
      <c r="B25" s="6" t="n">
        <f aca="false">ROUND(B6,6)</f>
        <v>0.018568</v>
      </c>
    </row>
    <row r="26" customFormat="false" ht="15" hidden="false" customHeight="false" outlineLevel="0" collapsed="false">
      <c r="A26" s="8" t="s">
        <v>37</v>
      </c>
      <c r="B26" s="15" t="n">
        <f aca="false">B15/(1+B25)</f>
        <v>231697834.607017</v>
      </c>
    </row>
    <row r="27" customFormat="false" ht="15" hidden="false" customHeight="false" outlineLevel="0" collapsed="false">
      <c r="A27" s="8" t="s">
        <v>38</v>
      </c>
      <c r="B27" s="15" t="n">
        <f aca="false">B16-B26</f>
        <v>108.952929973602</v>
      </c>
    </row>
    <row r="28" customFormat="false" ht="15" hidden="false" customHeight="false" outlineLevel="0" collapsed="false">
      <c r="A28" s="8" t="s">
        <v>39</v>
      </c>
      <c r="B28" s="15" t="n">
        <f aca="false">B6*Inputs!B19</f>
        <v>4016897.5</v>
      </c>
    </row>
    <row r="29" customFormat="false" ht="15" hidden="false" customHeight="false" outlineLevel="0" collapsed="false">
      <c r="A29" s="8" t="s">
        <v>40</v>
      </c>
      <c r="B29" s="6" t="n">
        <f aca="false">B6-B9</f>
        <v>0.0113999400611506</v>
      </c>
    </row>
    <row r="30" customFormat="false" ht="15" hidden="false" customHeight="false" outlineLevel="0" collapsed="false">
      <c r="A30" s="8" t="s">
        <v>41</v>
      </c>
      <c r="B30" s="6" t="n">
        <f aca="false">B6+B9</f>
        <v>0.0257351020022681</v>
      </c>
    </row>
    <row r="31" customFormat="false" ht="15" hidden="false" customHeight="false" outlineLevel="0" collapsed="false">
      <c r="A31" s="8" t="s">
        <v>42</v>
      </c>
      <c r="B31" s="6" t="n">
        <f aca="false">B20/B17</f>
        <v>0.7580194707512</v>
      </c>
    </row>
    <row r="34" customFormat="false" ht="15" hidden="false" customHeight="false" outlineLevel="0" collapsed="false">
      <c r="A34" s="17" t="s">
        <v>2</v>
      </c>
      <c r="B34" s="17" t="s">
        <v>3</v>
      </c>
      <c r="C34" s="17" t="s">
        <v>43</v>
      </c>
      <c r="D34" s="17" t="s">
        <v>44</v>
      </c>
    </row>
    <row r="35" customFormat="false" ht="15" hidden="false" customHeight="false" outlineLevel="0" collapsed="false">
      <c r="A35" s="8" t="n">
        <v>1</v>
      </c>
      <c r="B35" s="6" t="n">
        <f aca="false">IF(ISNUMBER(Inputs!B5),Inputs!B5,"")</f>
        <v>0.018</v>
      </c>
      <c r="C35" s="6" t="n">
        <f aca="false">IF(ISNUMBER(Inputs!B5),ABS(Inputs!B5),"")</f>
        <v>0.018</v>
      </c>
      <c r="D35" s="6" t="n">
        <f aca="false">IF(ISNUMBER(Inputs!B5),ABS(Inputs!B5-$B$6),"")</f>
        <v>0.000567521031709348</v>
      </c>
    </row>
    <row r="36" customFormat="false" ht="15" hidden="false" customHeight="false" outlineLevel="0" collapsed="false">
      <c r="A36" s="8" t="n">
        <v>2</v>
      </c>
      <c r="B36" s="6" t="n">
        <f aca="false">IF(ISNUMBER(Inputs!B6),Inputs!B6,"")</f>
        <v>0.034</v>
      </c>
      <c r="C36" s="6" t="n">
        <f aca="false">IF(ISNUMBER(Inputs!B6),ABS(Inputs!B6),"")</f>
        <v>0.034</v>
      </c>
      <c r="D36" s="6" t="n">
        <f aca="false">IF(ISNUMBER(Inputs!B6),ABS(Inputs!B6-$B$6),"")</f>
        <v>0.0154324789682907</v>
      </c>
    </row>
    <row r="37" customFormat="false" ht="15" hidden="false" customHeight="false" outlineLevel="0" collapsed="false">
      <c r="A37" s="8" t="n">
        <v>3</v>
      </c>
      <c r="B37" s="6" t="n">
        <f aca="false">IF(ISNUMBER(Inputs!B7),Inputs!B7,"")</f>
        <v>-0.009</v>
      </c>
      <c r="C37" s="6" t="n">
        <f aca="false">IF(ISNUMBER(Inputs!B7),ABS(Inputs!B7),"")</f>
        <v>0.009</v>
      </c>
      <c r="D37" s="6" t="n">
        <f aca="false">IF(ISNUMBER(Inputs!B7),ABS(Inputs!B7-$B$6),"")</f>
        <v>0.0275675210317093</v>
      </c>
    </row>
    <row r="38" customFormat="false" ht="15" hidden="false" customHeight="false" outlineLevel="0" collapsed="false">
      <c r="A38" s="8" t="n">
        <v>4</v>
      </c>
      <c r="B38" s="6" t="n">
        <f aca="false">IF(ISNUMBER(Inputs!B8),Inputs!B8,"")</f>
        <v>0.046</v>
      </c>
      <c r="C38" s="6" t="n">
        <f aca="false">IF(ISNUMBER(Inputs!B8),ABS(Inputs!B8),"")</f>
        <v>0.046</v>
      </c>
      <c r="D38" s="6" t="n">
        <f aca="false">IF(ISNUMBER(Inputs!B8),ABS(Inputs!B8-$B$6),"")</f>
        <v>0.0274324789682907</v>
      </c>
    </row>
    <row r="39" customFormat="false" ht="15" hidden="false" customHeight="false" outlineLevel="0" collapsed="false">
      <c r="A39" s="8" t="n">
        <v>5</v>
      </c>
      <c r="B39" s="6" t="n">
        <f aca="false">IF(ISNUMBER(Inputs!B9),Inputs!B9,"")</f>
        <v>0.022</v>
      </c>
      <c r="C39" s="6" t="n">
        <f aca="false">IF(ISNUMBER(Inputs!B9),ABS(Inputs!B9),"")</f>
        <v>0.022</v>
      </c>
      <c r="D39" s="6" t="n">
        <f aca="false">IF(ISNUMBER(Inputs!B9),ABS(Inputs!B9-$B$6),"")</f>
        <v>0.00343247896829065</v>
      </c>
    </row>
    <row r="40" customFormat="false" ht="15" hidden="false" customHeight="false" outlineLevel="0" collapsed="false">
      <c r="A40" s="8" t="n">
        <v>6</v>
      </c>
      <c r="B40" s="6" t="n">
        <f aca="false">IF(ISNUMBER(Inputs!B10),Inputs!B10,"")</f>
        <v>-0.013</v>
      </c>
      <c r="C40" s="6" t="n">
        <f aca="false">IF(ISNUMBER(Inputs!B10),ABS(Inputs!B10),"")</f>
        <v>0.013</v>
      </c>
      <c r="D40" s="6" t="n">
        <f aca="false">IF(ISNUMBER(Inputs!B10),ABS(Inputs!B10-$B$6),"")</f>
        <v>0.0315675210317093</v>
      </c>
    </row>
    <row r="41" customFormat="false" ht="15" hidden="false" customHeight="false" outlineLevel="0" collapsed="false">
      <c r="A41" s="8" t="n">
        <v>7</v>
      </c>
      <c r="B41" s="6" t="n">
        <f aca="false">IF(ISNUMBER(Inputs!B11),Inputs!B11,"")</f>
        <v>0.029</v>
      </c>
      <c r="C41" s="6" t="n">
        <f aca="false">IF(ISNUMBER(Inputs!B11),ABS(Inputs!B11),"")</f>
        <v>0.029</v>
      </c>
      <c r="D41" s="6" t="n">
        <f aca="false">IF(ISNUMBER(Inputs!B11),ABS(Inputs!B11-$B$6),"")</f>
        <v>0.0104324789682907</v>
      </c>
    </row>
    <row r="42" customFormat="false" ht="15" hidden="false" customHeight="false" outlineLevel="0" collapsed="false">
      <c r="A42" s="8" t="n">
        <v>8</v>
      </c>
      <c r="B42" s="6" t="n">
        <f aca="false">IF(ISNUMBER(Inputs!B12),Inputs!B12,"")</f>
        <v>0.0215401682536748</v>
      </c>
      <c r="C42" s="6" t="n">
        <f aca="false">IF(ISNUMBER(Inputs!B12),ABS(Inputs!B12),"")</f>
        <v>0.0215401682536748</v>
      </c>
      <c r="D42" s="6" t="n">
        <f aca="false">IF(ISNUMBER(Inputs!B12),ABS(Inputs!B12-$B$6),"")</f>
        <v>0.00297264722196542</v>
      </c>
    </row>
    <row r="43" customFormat="false" ht="15" hidden="false" customHeight="false" outlineLevel="0" collapsed="false">
      <c r="A43" s="8" t="n">
        <v>9</v>
      </c>
      <c r="B43" s="6" t="str">
        <f aca="false">IF(ISNUMBER(Inputs!B13),Inputs!B13,"")</f>
        <v/>
      </c>
      <c r="C43" s="6" t="str">
        <f aca="false">IF(ISNUMBER(Inputs!B13),ABS(Inputs!B13),"")</f>
        <v/>
      </c>
      <c r="D43" s="6" t="str">
        <f aca="false">IF(ISNUMBER(Inputs!B13),ABS(Inputs!B13-$B$6),"")</f>
        <v/>
      </c>
    </row>
    <row r="44" customFormat="false" ht="15" hidden="false" customHeight="false" outlineLevel="0" collapsed="false">
      <c r="A44" s="8" t="n">
        <v>10</v>
      </c>
      <c r="B44" s="6" t="str">
        <f aca="false">IF(ISNUMBER(Inputs!B14),Inputs!B14,"")</f>
        <v/>
      </c>
      <c r="C44" s="6" t="str">
        <f aca="false">IF(ISNUMBER(Inputs!B14),ABS(Inputs!B14),"")</f>
        <v/>
      </c>
      <c r="D44" s="6" t="str">
        <f aca="false">IF(ISNUMBER(Inputs!B14),ABS(Inputs!B14-$B$6),"")</f>
        <v/>
      </c>
    </row>
    <row r="45" customFormat="false" ht="15" hidden="false" customHeight="false" outlineLevel="0" collapsed="false">
      <c r="A45" s="8" t="n">
        <v>11</v>
      </c>
      <c r="B45" s="6" t="str">
        <f aca="false">IF(ISNUMBER(Inputs!B15),Inputs!B15,"")</f>
        <v/>
      </c>
      <c r="C45" s="6" t="str">
        <f aca="false">IF(ISNUMBER(Inputs!B15),ABS(Inputs!B15),"")</f>
        <v/>
      </c>
      <c r="D45" s="6" t="str">
        <f aca="false">IF(ISNUMBER(Inputs!B15),ABS(Inputs!B15-$B$6),"")</f>
        <v/>
      </c>
    </row>
    <row r="46" customFormat="false" ht="15" hidden="false" customHeight="false" outlineLevel="0" collapsed="false">
      <c r="A46" s="8" t="n">
        <v>12</v>
      </c>
      <c r="B46" s="6" t="str">
        <f aca="false">IF(ISNUMBER(Inputs!B16),Inputs!B16,"")</f>
        <v/>
      </c>
      <c r="C46" s="6" t="str">
        <f aca="false">IF(ISNUMBER(Inputs!B16),ABS(Inputs!B16),"")</f>
        <v/>
      </c>
      <c r="D46" s="6" t="str">
        <f aca="false">IF(ISNUMBER(Inputs!B16),ABS(Inputs!B16-$B$6),"")</f>
        <v/>
      </c>
    </row>
    <row r="48" customFormat="false" ht="15" hidden="false" customHeight="false" outlineLevel="0" collapsed="false">
      <c r="A48" s="7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46</v>
      </c>
    </row>
    <row r="2" customFormat="false" ht="15" hidden="false" customHeight="false" outlineLevel="0" collapsed="false">
      <c r="A2" s="7" t="s">
        <v>47</v>
      </c>
    </row>
    <row r="4" customFormat="false" ht="15" hidden="false" customHeight="false" outlineLevel="0" collapsed="false">
      <c r="A4" s="8" t="s">
        <v>48</v>
      </c>
      <c r="B4" s="6" t="n">
        <f aca="false">Inputs!B25/Inputs!B19</f>
        <v>0.426121845243598</v>
      </c>
    </row>
    <row r="5" customFormat="false" ht="15" hidden="false" customHeight="false" outlineLevel="0" collapsed="false">
      <c r="A5" s="8" t="s">
        <v>49</v>
      </c>
      <c r="B5" s="15" t="n">
        <f aca="false">Inputs!B18</f>
        <v>236000000</v>
      </c>
    </row>
    <row r="6" customFormat="false" ht="15" hidden="false" customHeight="false" outlineLevel="0" collapsed="false">
      <c r="A6" s="8" t="s">
        <v>50</v>
      </c>
      <c r="B6" s="15" t="n">
        <f aca="false">B5-Inputs!B29</f>
        <v>6000000</v>
      </c>
    </row>
    <row r="7" customFormat="false" ht="15" hidden="false" customHeight="false" outlineLevel="0" collapsed="false">
      <c r="A7" s="8" t="s">
        <v>51</v>
      </c>
      <c r="B7" s="15" t="n">
        <f aca="false">Inputs!B23+B5</f>
        <v>852340000</v>
      </c>
    </row>
    <row r="8" customFormat="false" ht="15" hidden="false" customHeight="false" outlineLevel="0" collapsed="false">
      <c r="A8" s="8" t="s">
        <v>52</v>
      </c>
      <c r="B8" s="15" t="n">
        <f aca="false">B7-Inputs!B26</f>
        <v>12340000</v>
      </c>
    </row>
    <row r="9" customFormat="false" ht="15" hidden="false" customHeight="false" outlineLevel="0" collapsed="false">
      <c r="A9" s="8" t="s">
        <v>53</v>
      </c>
      <c r="B9" s="15" t="n">
        <f aca="false">B5*B4</f>
        <v>100564755.477489</v>
      </c>
    </row>
    <row r="10" customFormat="false" ht="15" hidden="false" customHeight="false" outlineLevel="0" collapsed="false">
      <c r="A10" s="8" t="s">
        <v>54</v>
      </c>
      <c r="B10" s="15" t="n">
        <f aca="false">Inputs!B24+B9</f>
        <v>376977755.477489</v>
      </c>
    </row>
    <row r="11" customFormat="false" ht="15" hidden="false" customHeight="false" outlineLevel="0" collapsed="false">
      <c r="A11" s="8" t="s">
        <v>55</v>
      </c>
      <c r="B11" s="6" t="n">
        <f aca="false">B10/B7</f>
        <v>0.442285655345859</v>
      </c>
    </row>
    <row r="12" customFormat="false" ht="15" hidden="false" customHeight="false" outlineLevel="0" collapsed="false">
      <c r="A12" s="8" t="s">
        <v>56</v>
      </c>
      <c r="B12" s="15" t="n">
        <f aca="false">B10-Inputs!B27</f>
        <v>-6174244.52251089</v>
      </c>
    </row>
    <row r="13" customFormat="false" ht="15" hidden="false" customHeight="false" outlineLevel="0" collapsed="false">
      <c r="A13" s="12" t="s">
        <v>57</v>
      </c>
      <c r="B13" s="16" t="n">
        <f aca="false">B10-Inputs!B28</f>
        <v>86977755.4774891</v>
      </c>
    </row>
    <row r="14" customFormat="false" ht="15" hidden="false" customHeight="false" outlineLevel="0" collapsed="false">
      <c r="A14" s="8" t="s">
        <v>58</v>
      </c>
      <c r="B14" s="15" t="n">
        <f aca="false">Inputs!B27-Inputs!B28</f>
        <v>93152000</v>
      </c>
    </row>
    <row r="15" customFormat="false" ht="15" hidden="false" customHeight="false" outlineLevel="0" collapsed="false">
      <c r="A15" s="12" t="s">
        <v>59</v>
      </c>
      <c r="B15" s="16" t="n">
        <f aca="false">B13-B14</f>
        <v>-6174244.52251089</v>
      </c>
    </row>
    <row r="16" customFormat="false" ht="15" hidden="false" customHeight="false" outlineLevel="0" collapsed="false">
      <c r="A16" s="8" t="s">
        <v>60</v>
      </c>
      <c r="B16" s="6" t="n">
        <f aca="false">B15/B14</f>
        <v>-0.0662813951660822</v>
      </c>
    </row>
    <row r="18" customFormat="false" ht="15" hidden="false" customHeight="false" outlineLevel="0" collapsed="false">
      <c r="A18" s="12" t="s">
        <v>61</v>
      </c>
    </row>
    <row r="19" customFormat="false" ht="15" hidden="false" customHeight="false" outlineLevel="0" collapsed="false">
      <c r="A19" s="8" t="s">
        <v>62</v>
      </c>
      <c r="B19" s="6" t="n">
        <f aca="false">ROUND(Inputs!B27/Inputs!B26,6)</f>
        <v>0.456133</v>
      </c>
    </row>
    <row r="20" customFormat="false" ht="15" hidden="false" customHeight="false" outlineLevel="0" collapsed="false">
      <c r="A20" s="8" t="s">
        <v>63</v>
      </c>
      <c r="B20" s="15" t="n">
        <f aca="false">B5*B19</f>
        <v>107647388</v>
      </c>
    </row>
    <row r="21" customFormat="false" ht="15" hidden="false" customHeight="false" outlineLevel="0" collapsed="false">
      <c r="A21" s="8" t="s">
        <v>54</v>
      </c>
      <c r="B21" s="15" t="n">
        <f aca="false">Inputs!B24+B20</f>
        <v>384060388</v>
      </c>
    </row>
    <row r="22" customFormat="false" ht="15" hidden="false" customHeight="false" outlineLevel="0" collapsed="false">
      <c r="A22" s="8" t="s">
        <v>64</v>
      </c>
      <c r="B22" s="15" t="n">
        <f aca="false">B21-Inputs!B28</f>
        <v>94060388</v>
      </c>
    </row>
    <row r="23" customFormat="false" ht="15" hidden="false" customHeight="false" outlineLevel="0" collapsed="false">
      <c r="A23" s="8" t="s">
        <v>65</v>
      </c>
      <c r="B23" s="15" t="n">
        <f aca="false">B5*Inputs!B27/Inputs!B26</f>
        <v>107647466.666667</v>
      </c>
    </row>
    <row r="24" customFormat="false" ht="15" hidden="false" customHeight="false" outlineLevel="0" collapsed="false">
      <c r="A24" s="8" t="s">
        <v>54</v>
      </c>
      <c r="B24" s="15" t="n">
        <f aca="false">Inputs!B24+B23</f>
        <v>384060466.666667</v>
      </c>
    </row>
    <row r="25" customFormat="false" ht="15" hidden="false" customHeight="false" outlineLevel="0" collapsed="false">
      <c r="A25" s="8" t="s">
        <v>64</v>
      </c>
      <c r="B25" s="15" t="n">
        <f aca="false">B24-Inputs!B28</f>
        <v>94060466.6666667</v>
      </c>
    </row>
    <row r="26" customFormat="false" ht="15" hidden="false" customHeight="false" outlineLevel="0" collapsed="false">
      <c r="A26" s="8" t="s">
        <v>66</v>
      </c>
      <c r="B26" s="15" t="n">
        <f aca="false">B23-B20</f>
        <v>78.6666666716337</v>
      </c>
    </row>
    <row r="28" customFormat="false" ht="15" hidden="false" customHeight="false" outlineLevel="0" collapsed="false">
      <c r="A28" s="12" t="s">
        <v>67</v>
      </c>
    </row>
    <row r="29" customFormat="false" ht="15" hidden="false" customHeight="false" outlineLevel="0" collapsed="false">
      <c r="A29" s="12" t="s">
        <v>68</v>
      </c>
      <c r="B29" s="13" t="n">
        <f aca="false">(B14+Inputs!B28-Inputs!B24)/B5</f>
        <v>0.452283898305085</v>
      </c>
    </row>
    <row r="30" customFormat="false" ht="15" hidden="false" customHeight="false" outlineLevel="0" collapsed="false">
      <c r="A30" s="12" t="s">
        <v>69</v>
      </c>
      <c r="B30" s="13" t="n">
        <f aca="false">(B14+Inputs!B28-Inputs!B24)/Accuracy!B16</f>
        <v>0.460681689099168</v>
      </c>
    </row>
    <row r="31" customFormat="false" ht="15" hidden="false" customHeight="false" outlineLevel="0" collapsed="false">
      <c r="A31" s="8" t="s">
        <v>70</v>
      </c>
      <c r="B31" s="15" t="n">
        <f aca="false">Inputs!B24+Accuracy!B16*B4-Inputs!B28</f>
        <v>85144555.2489116</v>
      </c>
    </row>
    <row r="32" customFormat="false" ht="15" hidden="false" customHeight="false" outlineLevel="0" collapsed="false">
      <c r="A32" s="8" t="s">
        <v>71</v>
      </c>
      <c r="B32" s="15" t="n">
        <f aca="false">B13-Inputs!B30</f>
        <v>86777755.4774891</v>
      </c>
    </row>
    <row r="33" customFormat="false" ht="15" hidden="false" customHeight="false" outlineLevel="0" collapsed="false">
      <c r="A33" s="8" t="s">
        <v>72</v>
      </c>
      <c r="B33" s="6" t="n">
        <f aca="false">(Inputs!B20-Inputs!B19)/Inputs!B20</f>
        <v>0.0210859728506787</v>
      </c>
    </row>
    <row r="35" customFormat="false" ht="15" hidden="false" customHeight="false" outlineLevel="0" collapsed="false">
      <c r="A35" s="7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20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4" customFormat="false" ht="15" hidden="false" customHeight="false" outlineLevel="0" collapsed="false">
      <c r="A4" s="3" t="s">
        <v>76</v>
      </c>
      <c r="B4" s="3" t="s">
        <v>77</v>
      </c>
      <c r="C4" s="3" t="s">
        <v>78</v>
      </c>
      <c r="D4" s="3" t="s">
        <v>79</v>
      </c>
      <c r="E4" s="3" t="s">
        <v>80</v>
      </c>
    </row>
    <row r="5" customFormat="false" ht="15" hidden="false" customHeight="false" outlineLevel="0" collapsed="false">
      <c r="A5" s="18" t="s">
        <v>81</v>
      </c>
      <c r="B5" s="6" t="n">
        <v>0.0185675210317094</v>
      </c>
      <c r="C5" s="6" t="n">
        <f aca="false">Accuracy!B6</f>
        <v>0.0185675210317093</v>
      </c>
      <c r="D5" s="6" t="n">
        <f aca="false">ROUND(C5-B5,6)</f>
        <v>0</v>
      </c>
      <c r="E5" s="12" t="str">
        <f aca="false">IF(ISNUMBER(C5),IF(ABS(D5)&lt;IF(ABS(B5)&lt;10,0.0000005,0.005),"PASS","CHECK"),"CHECK")</f>
        <v>PASS</v>
      </c>
    </row>
    <row r="6" customFormat="false" ht="15" hidden="false" customHeight="false" outlineLevel="0" collapsed="false">
      <c r="A6" s="18" t="s">
        <v>82</v>
      </c>
      <c r="B6" s="6" t="n">
        <v>0.0202729804359429</v>
      </c>
      <c r="C6" s="6" t="n">
        <f aca="false">Accuracy!B7</f>
        <v>0.0202729804359429</v>
      </c>
      <c r="D6" s="6" t="n">
        <f aca="false">ROUND(C6-B6,6)</f>
        <v>0</v>
      </c>
      <c r="E6" s="12" t="str">
        <f aca="false">IF(ISNUMBER(C6),IF(ABS(D6)&lt;IF(ABS(B6)&lt;10,0.0000005,0.005),"PASS","CHECK"),"CHECK")</f>
        <v>PASS</v>
      </c>
    </row>
    <row r="7" customFormat="false" ht="15" hidden="false" customHeight="false" outlineLevel="0" collapsed="false">
      <c r="A7" s="18" t="s">
        <v>24</v>
      </c>
      <c r="B7" s="19" t="n">
        <v>0.915875250330244</v>
      </c>
      <c r="C7" s="19" t="n">
        <f aca="false">Accuracy!B8</f>
        <v>0.915875250330244</v>
      </c>
      <c r="D7" s="19" t="n">
        <f aca="false">ROUND(C7-B7,6)</f>
        <v>0</v>
      </c>
      <c r="E7" s="12" t="str">
        <f aca="false">IF(ISNUMBER(C7),IF(ABS(D7)&lt;IF(ABS(B7)&lt;10,0.0000005,0.005),"PASS","CHECK"),"CHECK")</f>
        <v>PASS</v>
      </c>
    </row>
    <row r="8" customFormat="false" ht="15" hidden="false" customHeight="false" outlineLevel="0" collapsed="false">
      <c r="A8" s="18" t="s">
        <v>26</v>
      </c>
      <c r="B8" s="6" t="n">
        <v>0.0240675210317094</v>
      </c>
      <c r="C8" s="6" t="n">
        <f aca="false">Accuracy!B11</f>
        <v>0.0240675210317093</v>
      </c>
      <c r="D8" s="6" t="n">
        <f aca="false">ROUND(C8-B8,6)</f>
        <v>0</v>
      </c>
      <c r="E8" s="12" t="str">
        <f aca="false">IF(ISNUMBER(C8),IF(ABS(D8)&lt;IF(ABS(B8)&lt;10,0.0000005,0.005),"PASS","CHECK"),"CHECK")</f>
        <v>PASS</v>
      </c>
    </row>
    <row r="9" customFormat="false" ht="15" hidden="false" customHeight="false" outlineLevel="0" collapsed="false">
      <c r="A9" s="18" t="s">
        <v>83</v>
      </c>
      <c r="B9" s="6" t="n">
        <v>0.014925640773782</v>
      </c>
      <c r="C9" s="6" t="n">
        <f aca="false">Accuracy!B12</f>
        <v>0.014925640773782</v>
      </c>
      <c r="D9" s="6" t="n">
        <f aca="false">ROUND(C9-B9,6)</f>
        <v>0</v>
      </c>
      <c r="E9" s="12" t="str">
        <f aca="false">IF(ISNUMBER(C9),IF(ABS(D9)&lt;IF(ABS(B9)&lt;10,0.0000005,0.005),"PASS","CHECK"),"CHECK")</f>
        <v>PASS</v>
      </c>
    </row>
    <row r="10" customFormat="false" ht="15" hidden="false" customHeight="false" outlineLevel="0" collapsed="false">
      <c r="A10" s="18" t="s">
        <v>84</v>
      </c>
      <c r="B10" s="6" t="n">
        <v>0.379843036010346</v>
      </c>
      <c r="C10" s="6" t="n">
        <f aca="false">Accuracy!B13</f>
        <v>0.379843036010346</v>
      </c>
      <c r="D10" s="6" t="n">
        <f aca="false">ROUND(C10-B10,6)</f>
        <v>0</v>
      </c>
      <c r="E10" s="12" t="str">
        <f aca="false">IF(ISNUMBER(C10),IF(ABS(D10)&lt;IF(ABS(B10)&lt;10,0.0000005,0.005),"PASS","CHECK"),"CHECK")</f>
        <v>PASS</v>
      </c>
    </row>
    <row r="11" customFormat="false" ht="15" hidden="false" customHeight="false" outlineLevel="0" collapsed="false">
      <c r="A11" s="18" t="s">
        <v>85</v>
      </c>
      <c r="B11" s="15" t="n">
        <v>231697943.559947</v>
      </c>
      <c r="C11" s="15" t="n">
        <f aca="false">Accuracy!B16</f>
        <v>231697943.559947</v>
      </c>
      <c r="D11" s="15" t="n">
        <f aca="false">ROUND(C11-B11,6)</f>
        <v>0</v>
      </c>
      <c r="E11" s="12" t="str">
        <f aca="false">IF(ISNUMBER(C11),IF(ABS(D11)&lt;IF(ABS(B11)&lt;10,0.0000005,0.005),"PASS","CHECK"),"CHECK")</f>
        <v>PASS</v>
      </c>
    </row>
    <row r="12" customFormat="false" ht="15" hidden="false" customHeight="false" outlineLevel="0" collapsed="false">
      <c r="A12" s="18" t="s">
        <v>30</v>
      </c>
      <c r="B12" s="15" t="n">
        <v>4302056.44005311</v>
      </c>
      <c r="C12" s="15" t="n">
        <f aca="false">Accuracy!B17</f>
        <v>4302056.44005311</v>
      </c>
      <c r="D12" s="15" t="n">
        <f aca="false">ROUND(C12-B12,6)</f>
        <v>0</v>
      </c>
      <c r="E12" s="12" t="str">
        <f aca="false">IF(ISNUMBER(C12),IF(ABS(D12)&lt;IF(ABS(B12)&lt;10,0.0000005,0.005),"PASS","CHECK"),"CHECK")</f>
        <v>PASS</v>
      </c>
    </row>
    <row r="13" customFormat="false" ht="15" hidden="false" customHeight="false" outlineLevel="0" collapsed="false">
      <c r="A13" s="18" t="s">
        <v>86</v>
      </c>
      <c r="B13" s="6" t="n">
        <v>0.0215401682536748</v>
      </c>
      <c r="C13" s="6" t="n">
        <f aca="false">Inputs!B12</f>
        <v>0.0215401682536748</v>
      </c>
      <c r="D13" s="6" t="n">
        <f aca="false">ROUND(C13-B13,6)</f>
        <v>0</v>
      </c>
      <c r="E13" s="12" t="str">
        <f aca="false">IF(ISNUMBER(C13),IF(ABS(D13)&lt;IF(ABS(B13)&lt;10,0.0000005,0.005),"PASS","CHECK"),"CHECK")</f>
        <v>PASS</v>
      </c>
    </row>
    <row r="14" customFormat="false" ht="15" hidden="false" customHeight="false" outlineLevel="0" collapsed="false">
      <c r="A14" s="18" t="s">
        <v>87</v>
      </c>
      <c r="B14" s="4" t="n">
        <v>8</v>
      </c>
      <c r="C14" s="4" t="n">
        <f aca="false">Accuracy!B4</f>
        <v>8</v>
      </c>
      <c r="D14" s="4" t="n">
        <f aca="false">ROUND(C14-B14,6)</f>
        <v>0</v>
      </c>
      <c r="E14" s="12" t="str">
        <f aca="false">IF(ISNUMBER(C14),IF(ABS(D14)&lt;IF(ABS(B14)&lt;10,0.0000005,0.005),"PASS","CHECK"),"CHECK")</f>
        <v>PASS</v>
      </c>
    </row>
    <row r="15" customFormat="false" ht="15" hidden="false" customHeight="false" outlineLevel="0" collapsed="false">
      <c r="A15" s="18" t="s">
        <v>88</v>
      </c>
      <c r="B15" s="4" t="n">
        <v>6</v>
      </c>
      <c r="C15" s="4" t="n">
        <f aca="false">Accuracy!B5</f>
        <v>6</v>
      </c>
      <c r="D15" s="4" t="n">
        <f aca="false">ROUND(C15-B15,6)</f>
        <v>0</v>
      </c>
      <c r="E15" s="12" t="str">
        <f aca="false">IF(ISNUMBER(C15),IF(ABS(D15)&lt;IF(ABS(B15)&lt;10,0.0000005,0.005),"PASS","CHECK"),"CHECK")</f>
        <v>PASS</v>
      </c>
    </row>
    <row r="16" customFormat="false" ht="15" hidden="false" customHeight="false" outlineLevel="0" collapsed="false">
      <c r="A16" s="18" t="s">
        <v>25</v>
      </c>
      <c r="B16" s="6" t="n">
        <v>0.00716758097055872</v>
      </c>
      <c r="C16" s="6" t="n">
        <f aca="false">Accuracy!B9</f>
        <v>0.00716758097055872</v>
      </c>
      <c r="D16" s="6" t="n">
        <f aca="false">ROUND(C16-B16,6)</f>
        <v>0</v>
      </c>
      <c r="E16" s="12" t="str">
        <f aca="false">IF(ISNUMBER(C16),IF(ABS(D16)&lt;IF(ABS(B16)&lt;10,0.0000005,0.005),"PASS","CHECK"),"CHECK")</f>
        <v>PASS</v>
      </c>
    </row>
    <row r="17" customFormat="false" ht="15" hidden="false" customHeight="false" outlineLevel="0" collapsed="false">
      <c r="A17" s="18" t="s">
        <v>89</v>
      </c>
      <c r="B17" s="15" t="n">
        <v>233339938.685117</v>
      </c>
      <c r="C17" s="15" t="n">
        <f aca="false">Accuracy!B18</f>
        <v>233339938.685117</v>
      </c>
      <c r="D17" s="15" t="n">
        <f aca="false">ROUND(C17-B17,6)</f>
        <v>0</v>
      </c>
      <c r="E17" s="12" t="str">
        <f aca="false">IF(ISNUMBER(C17),IF(ABS(D17)&lt;IF(ABS(B17)&lt;10,0.0000005,0.005),"PASS","CHECK"),"CHECK")</f>
        <v>PASS</v>
      </c>
    </row>
    <row r="18" customFormat="false" ht="15" hidden="false" customHeight="false" outlineLevel="0" collapsed="false">
      <c r="A18" s="18" t="s">
        <v>90</v>
      </c>
      <c r="B18" s="15" t="n">
        <v>230078896.139286</v>
      </c>
      <c r="C18" s="15" t="n">
        <f aca="false">Accuracy!B19</f>
        <v>230078896.139286</v>
      </c>
      <c r="D18" s="15" t="n">
        <f aca="false">ROUND(C18-B18,6)</f>
        <v>0</v>
      </c>
      <c r="E18" s="12" t="str">
        <f aca="false">IF(ISNUMBER(C18),IF(ABS(D18)&lt;IF(ABS(B18)&lt;10,0.0000005,0.005),"PASS","CHECK"),"CHECK")</f>
        <v>PASS</v>
      </c>
    </row>
    <row r="19" customFormat="false" ht="15" hidden="false" customHeight="false" outlineLevel="0" collapsed="false">
      <c r="A19" s="18" t="s">
        <v>91</v>
      </c>
      <c r="B19" s="15" t="n">
        <v>3261042.54583085</v>
      </c>
      <c r="C19" s="15" t="n">
        <f aca="false">Accuracy!B20</f>
        <v>3261042.54583085</v>
      </c>
      <c r="D19" s="15" t="n">
        <f aca="false">ROUND(C19-B19,6)</f>
        <v>0</v>
      </c>
      <c r="E19" s="12" t="str">
        <f aca="false">IF(ISNUMBER(C19),IF(ABS(D19)&lt;IF(ABS(B19)&lt;10,0.0000005,0.005),"PASS","CHECK"),"CHECK")</f>
        <v>PASS</v>
      </c>
    </row>
    <row r="20" customFormat="false" ht="15" hidden="false" customHeight="false" outlineLevel="0" collapsed="false">
      <c r="A20" s="18" t="s">
        <v>92</v>
      </c>
      <c r="B20" s="6" t="n">
        <v>0.0113999400611506</v>
      </c>
      <c r="C20" s="6" t="n">
        <f aca="false">Accuracy!B29</f>
        <v>0.0113999400611506</v>
      </c>
      <c r="D20" s="6" t="n">
        <f aca="false">ROUND(C20-B20,6)</f>
        <v>0</v>
      </c>
      <c r="E20" s="12" t="str">
        <f aca="false">IF(ISNUMBER(C20),IF(ABS(D20)&lt;IF(ABS(B20)&lt;10,0.0000005,0.005),"PASS","CHECK"),"CHECK")</f>
        <v>PASS</v>
      </c>
    </row>
    <row r="21" customFormat="false" ht="15" hidden="false" customHeight="false" outlineLevel="0" collapsed="false">
      <c r="A21" s="18" t="s">
        <v>93</v>
      </c>
      <c r="B21" s="6" t="n">
        <v>0.0257351020022681</v>
      </c>
      <c r="C21" s="6" t="n">
        <f aca="false">Accuracy!B30</f>
        <v>0.0257351020022681</v>
      </c>
      <c r="D21" s="6" t="n">
        <f aca="false">ROUND(C21-B21,6)</f>
        <v>0</v>
      </c>
      <c r="E21" s="12" t="str">
        <f aca="false">IF(ISNUMBER(C21),IF(ABS(D21)&lt;IF(ABS(B21)&lt;10,0.0000005,0.005),"PASS","CHECK"),"CHECK")</f>
        <v>PASS</v>
      </c>
    </row>
    <row r="22" customFormat="false" ht="15" hidden="false" customHeight="false" outlineLevel="0" collapsed="false">
      <c r="A22" s="18" t="s">
        <v>94</v>
      </c>
      <c r="B22" s="15" t="n">
        <v>231697834.607017</v>
      </c>
      <c r="C22" s="15" t="n">
        <f aca="false">Accuracy!B26</f>
        <v>231697834.607017</v>
      </c>
      <c r="D22" s="15" t="n">
        <f aca="false">ROUND(C22-B22,6)</f>
        <v>0</v>
      </c>
      <c r="E22" s="12" t="str">
        <f aca="false">IF(ISNUMBER(C22),IF(ABS(D22)&lt;IF(ABS(B22)&lt;10,0.0000005,0.005),"PASS","CHECK"),"CHECK")</f>
        <v>PASS</v>
      </c>
    </row>
    <row r="23" customFormat="false" ht="15" hidden="false" customHeight="false" outlineLevel="0" collapsed="false">
      <c r="A23" s="18" t="s">
        <v>95</v>
      </c>
      <c r="B23" s="15" t="n">
        <v>108.952929973602</v>
      </c>
      <c r="C23" s="15" t="n">
        <f aca="false">Accuracy!B27</f>
        <v>108.952929973602</v>
      </c>
      <c r="D23" s="15" t="n">
        <f aca="false">ROUND(C23-B23,6)</f>
        <v>0</v>
      </c>
      <c r="E23" s="12" t="str">
        <f aca="false">IF(ISNUMBER(C23),IF(ABS(D23)&lt;IF(ABS(B23)&lt;10,0.0000005,0.005),"PASS","CHECK"),"CHECK")</f>
        <v>PASS</v>
      </c>
    </row>
    <row r="24" customFormat="false" ht="15" hidden="false" customHeight="false" outlineLevel="0" collapsed="false">
      <c r="A24" s="18" t="s">
        <v>96</v>
      </c>
      <c r="B24" s="15" t="n">
        <v>4016897.5</v>
      </c>
      <c r="C24" s="15" t="n">
        <f aca="false">Accuracy!B28</f>
        <v>4016897.5</v>
      </c>
      <c r="D24" s="15" t="n">
        <f aca="false">ROUND(C24-B24,6)</f>
        <v>0</v>
      </c>
      <c r="E24" s="12" t="str">
        <f aca="false">IF(ISNUMBER(C24),IF(ABS(D24)&lt;IF(ABS(B24)&lt;10,0.0000005,0.005),"PASS","CHECK"),"CHECK")</f>
        <v>PASS</v>
      </c>
    </row>
    <row r="25" customFormat="false" ht="15" hidden="false" customHeight="false" outlineLevel="0" collapsed="false">
      <c r="A25" s="18" t="s">
        <v>97</v>
      </c>
      <c r="B25" s="15" t="n">
        <v>852340000</v>
      </c>
      <c r="C25" s="15" t="n">
        <f aca="false">Reforecast!B7</f>
        <v>852340000</v>
      </c>
      <c r="D25" s="15" t="n">
        <f aca="false">ROUND(C25-B25,6)</f>
        <v>0</v>
      </c>
      <c r="E25" s="12" t="str">
        <f aca="false">IF(ISNUMBER(C25),IF(ABS(D25)&lt;IF(ABS(B25)&lt;10,0.0000005,0.005),"PASS","CHECK"),"CHECK")</f>
        <v>PASS</v>
      </c>
    </row>
    <row r="26" customFormat="false" ht="15" hidden="false" customHeight="false" outlineLevel="0" collapsed="false">
      <c r="A26" s="18" t="s">
        <v>98</v>
      </c>
      <c r="B26" s="15" t="n">
        <v>376977755.477489</v>
      </c>
      <c r="C26" s="15" t="n">
        <f aca="false">Reforecast!B10</f>
        <v>376977755.477489</v>
      </c>
      <c r="D26" s="15" t="n">
        <f aca="false">ROUND(C26-B26,6)</f>
        <v>0</v>
      </c>
      <c r="E26" s="12" t="str">
        <f aca="false">IF(ISNUMBER(C26),IF(ABS(D26)&lt;IF(ABS(B26)&lt;10,0.0000005,0.005),"PASS","CHECK"),"CHECK")</f>
        <v>PASS</v>
      </c>
    </row>
    <row r="27" customFormat="false" ht="15" hidden="false" customHeight="false" outlineLevel="0" collapsed="false">
      <c r="A27" s="18" t="s">
        <v>99</v>
      </c>
      <c r="B27" s="6" t="n">
        <v>0.442285655345859</v>
      </c>
      <c r="C27" s="6" t="n">
        <f aca="false">Reforecast!B11</f>
        <v>0.442285655345859</v>
      </c>
      <c r="D27" s="6" t="n">
        <f aca="false">ROUND(C27-B27,6)</f>
        <v>0</v>
      </c>
      <c r="E27" s="12" t="str">
        <f aca="false">IF(ISNUMBER(C27),IF(ABS(D27)&lt;IF(ABS(B27)&lt;10,0.0000005,0.005),"PASS","CHECK"),"CHECK")</f>
        <v>PASS</v>
      </c>
    </row>
    <row r="28" customFormat="false" ht="15" hidden="false" customHeight="false" outlineLevel="0" collapsed="false">
      <c r="A28" s="18" t="s">
        <v>100</v>
      </c>
      <c r="B28" s="15" t="n">
        <v>100564755.477489</v>
      </c>
      <c r="C28" s="15" t="n">
        <f aca="false">Reforecast!B9</f>
        <v>100564755.477489</v>
      </c>
      <c r="D28" s="15" t="n">
        <f aca="false">ROUND(C28-B28,6)</f>
        <v>0</v>
      </c>
      <c r="E28" s="12" t="str">
        <f aca="false">IF(ISNUMBER(C28),IF(ABS(D28)&lt;IF(ABS(B28)&lt;10,0.0000005,0.005),"PASS","CHECK"),"CHECK")</f>
        <v>PASS</v>
      </c>
    </row>
    <row r="29" customFormat="false" ht="15" hidden="false" customHeight="false" outlineLevel="0" collapsed="false">
      <c r="A29" s="18" t="s">
        <v>101</v>
      </c>
      <c r="B29" s="15" t="n">
        <v>86977755.4774891</v>
      </c>
      <c r="C29" s="15" t="n">
        <f aca="false">Reforecast!B13</f>
        <v>86977755.4774891</v>
      </c>
      <c r="D29" s="15" t="n">
        <f aca="false">ROUND(C29-B29,6)</f>
        <v>0</v>
      </c>
      <c r="E29" s="12" t="str">
        <f aca="false">IF(ISNUMBER(C29),IF(ABS(D29)&lt;IF(ABS(B29)&lt;10,0.0000005,0.005),"PASS","CHECK"),"CHECK")</f>
        <v>PASS</v>
      </c>
    </row>
    <row r="30" customFormat="false" ht="15" hidden="false" customHeight="false" outlineLevel="0" collapsed="false">
      <c r="A30" s="18" t="s">
        <v>102</v>
      </c>
      <c r="B30" s="15" t="n">
        <v>-6174244.52251089</v>
      </c>
      <c r="C30" s="15" t="n">
        <f aca="false">Reforecast!B15</f>
        <v>-6174244.52251089</v>
      </c>
      <c r="D30" s="15" t="n">
        <f aca="false">ROUND(C30-B30,6)</f>
        <v>0</v>
      </c>
      <c r="E30" s="12" t="str">
        <f aca="false">IF(ISNUMBER(C30),IF(ABS(D30)&lt;IF(ABS(B30)&lt;10,0.0000005,0.005),"PASS","CHECK"),"CHECK")</f>
        <v>PASS</v>
      </c>
    </row>
    <row r="31" customFormat="false" ht="15" hidden="false" customHeight="false" outlineLevel="0" collapsed="false">
      <c r="A31" s="18" t="s">
        <v>103</v>
      </c>
      <c r="B31" s="6" t="n">
        <v>-0.0662813951660822</v>
      </c>
      <c r="C31" s="6" t="n">
        <f aca="false">Reforecast!B16</f>
        <v>-0.0662813951660822</v>
      </c>
      <c r="D31" s="6" t="n">
        <f aca="false">ROUND(C31-B31,6)</f>
        <v>0</v>
      </c>
      <c r="E31" s="12" t="str">
        <f aca="false">IF(ISNUMBER(C31),IF(ABS(D31)&lt;IF(ABS(B31)&lt;10,0.0000005,0.005),"PASS","CHECK"),"CHECK")</f>
        <v>PASS</v>
      </c>
    </row>
    <row r="32" customFormat="false" ht="15" hidden="false" customHeight="false" outlineLevel="0" collapsed="false">
      <c r="A32" s="18" t="s">
        <v>104</v>
      </c>
      <c r="B32" s="15" t="n">
        <v>94060388</v>
      </c>
      <c r="C32" s="15" t="n">
        <f aca="false">Reforecast!B22</f>
        <v>94060388</v>
      </c>
      <c r="D32" s="15" t="n">
        <f aca="false">ROUND(C32-B32,6)</f>
        <v>0</v>
      </c>
      <c r="E32" s="12" t="str">
        <f aca="false">IF(ISNUMBER(C32),IF(ABS(D32)&lt;IF(ABS(B32)&lt;10,0.0000005,0.005),"PASS","CHECK"),"CHECK")</f>
        <v>PASS</v>
      </c>
    </row>
    <row r="33" customFormat="false" ht="15" hidden="false" customHeight="false" outlineLevel="0" collapsed="false">
      <c r="A33" s="18" t="s">
        <v>105</v>
      </c>
      <c r="B33" s="15" t="n">
        <v>94060466.6666667</v>
      </c>
      <c r="C33" s="15" t="n">
        <f aca="false">Reforecast!B25</f>
        <v>94060466.6666667</v>
      </c>
      <c r="D33" s="15" t="n">
        <f aca="false">ROUND(C33-B33,6)</f>
        <v>0</v>
      </c>
      <c r="E33" s="12" t="str">
        <f aca="false">IF(ISNUMBER(C33),IF(ABS(D33)&lt;IF(ABS(B33)&lt;10,0.0000005,0.005),"PASS","CHECK"),"CHECK")</f>
        <v>PASS</v>
      </c>
    </row>
    <row r="34" customFormat="false" ht="15" hidden="false" customHeight="false" outlineLevel="0" collapsed="false">
      <c r="A34" s="18" t="s">
        <v>106</v>
      </c>
      <c r="B34" s="15" t="n">
        <v>78.6666666716337</v>
      </c>
      <c r="C34" s="15" t="n">
        <f aca="false">Reforecast!B26</f>
        <v>78.6666666716337</v>
      </c>
      <c r="D34" s="15" t="n">
        <f aca="false">ROUND(C34-B34,6)</f>
        <v>0</v>
      </c>
      <c r="E34" s="12" t="str">
        <f aca="false">IF(ISNUMBER(C34),IF(ABS(D34)&lt;IF(ABS(B34)&lt;10,0.0000005,0.005),"PASS","CHECK"),"CHECK")</f>
        <v>PASS</v>
      </c>
    </row>
    <row r="35" customFormat="false" ht="15" hidden="false" customHeight="false" outlineLevel="0" collapsed="false">
      <c r="A35" s="18" t="s">
        <v>107</v>
      </c>
      <c r="B35" s="6" t="n">
        <v>0.0210859728506787</v>
      </c>
      <c r="C35" s="6" t="n">
        <f aca="false">Reforecast!B33</f>
        <v>0.0210859728506787</v>
      </c>
      <c r="D35" s="6" t="n">
        <f aca="false">ROUND(C35-B35,6)</f>
        <v>0</v>
      </c>
      <c r="E35" s="12" t="str">
        <f aca="false">IF(ISNUMBER(C35),IF(ABS(D35)&lt;IF(ABS(B35)&lt;10,0.0000005,0.005),"PASS","CHECK"),"CHECK")</f>
        <v>PASS</v>
      </c>
    </row>
    <row r="37" customFormat="false" ht="15" hidden="false" customHeight="false" outlineLevel="0" collapsed="false">
      <c r="A37" s="12" t="s">
        <v>108</v>
      </c>
      <c r="D37" s="12" t="str">
        <f aca="false">COUNTIF(E5:E35,"PASS")&amp;" / 31"</f>
        <v>31 / 31</v>
      </c>
      <c r="E37" s="12" t="str">
        <f aca="false">IF(COUNTIF(E5:E35,"PASS")=31,"ALL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2026-09-08T23:01:43Z</dcterms:created>
  <dc:creator>openpyxl</dc:creator>
  <dc:description/>
  <dc:language>en-US</dc:language>
  <cp:lastModifiedBy/>
  <dcterms:modified xsi:type="dcterms:W3CDTF">2026-09-24T01:50:44Z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