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Bridge" sheetId="2" state="visible" r:id="rId4"/>
    <sheet name="Opex" sheetId="3" state="visible" r:id="rId5"/>
    <sheet name="Leverage" sheetId="4" state="visible" r:id="rId6"/>
    <sheet name="Commission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<sst xmlns="http://schemas.openxmlformats.org/spreadsheetml/2006/main" count="328" uniqueCount="304">
  <si>
    <t xml:space="preserve">Price, Volume and Mix - Inputs</t>
  </si>
  <si>
    <t xml:space="preserve">Blue cells are inputs. Yellow cells are the two that decide the whole answer.</t>
  </si>
  <si>
    <t xml:space="preserve">Instruments</t>
  </si>
  <si>
    <t xml:space="preserve">Units, budget</t>
  </si>
  <si>
    <t xml:space="preserve">Units, actual</t>
  </si>
  <si>
    <t xml:space="preserve">Average selling price, budget</t>
  </si>
  <si>
    <t xml:space="preserve">Average selling price, actual</t>
  </si>
  <si>
    <t xml:space="preserve">Standard unit cost (unchanged)</t>
  </si>
  <si>
    <t xml:space="preserve">Unchanged between budget and actual: nothing here is a cost story.</t>
  </si>
  <si>
    <t xml:space="preserve">Consumables and service</t>
  </si>
  <si>
    <t xml:space="preserve">Consumables revenue, budget</t>
  </si>
  <si>
    <t xml:space="preserve">Consumables revenue, actual</t>
  </si>
  <si>
    <t xml:space="preserve">Consumables gross margin</t>
  </si>
  <si>
    <t xml:space="preserve">Service revenue, budget</t>
  </si>
  <si>
    <t xml:space="preserve">Service revenue, actual</t>
  </si>
  <si>
    <t xml:space="preserve">Service gross margin</t>
  </si>
  <si>
    <t xml:space="preserve">Operating expense, third quarter (Chapters 1 and 6)</t>
  </si>
  <si>
    <t xml:space="preserve">Sales and marketing, budget</t>
  </si>
  <si>
    <t xml:space="preserve">Sales and marketing, actual</t>
  </si>
  <si>
    <t xml:space="preserve">Research and development, budget</t>
  </si>
  <si>
    <t xml:space="preserve">Research and development, actual</t>
  </si>
  <si>
    <t xml:space="preserve">General and administrative, budget</t>
  </si>
  <si>
    <t xml:space="preserve">General and administrative, actual</t>
  </si>
  <si>
    <t xml:space="preserve">The research and development underspend (Chapter 6)</t>
  </si>
  <si>
    <t xml:space="preserve">Vacant engineering roles, for the quarter</t>
  </si>
  <si>
    <t xml:space="preserve">Fully loaded cost of a role, a quarter</t>
  </si>
  <si>
    <t xml:space="preserve">Platform revenue in the underwriting plan, a year</t>
  </si>
  <si>
    <t xml:space="preserve">Assumed slip of the platform, quarters</t>
  </si>
  <si>
    <t xml:space="preserve">an assumption, not a measurement: propose your own and recompute</t>
  </si>
  <si>
    <t xml:space="preserve">The year (Chapters 3, 10 and 15)</t>
  </si>
  <si>
    <t xml:space="preserve">Budget revenue, full year</t>
  </si>
  <si>
    <t xml:space="preserve">Budget gross profit, full year</t>
  </si>
  <si>
    <t xml:space="preserve">Budget operating expense, full year</t>
  </si>
  <si>
    <t xml:space="preserve">Revenue, first three quarters, actual</t>
  </si>
  <si>
    <t xml:space="preserve">Gross profit, first three quarters, actual</t>
  </si>
  <si>
    <t xml:space="preserve">Fourth-quarter revenue as submitted</t>
  </si>
  <si>
    <t xml:space="preserve">Share of operating expense treated as variable</t>
  </si>
  <si>
    <t xml:space="preserve">Chapter 15's illustration, not a finding</t>
  </si>
  <si>
    <t xml:space="preserve">Commission and the installed base (Chapters 14 and 16)</t>
  </si>
  <si>
    <t xml:space="preserve">Commission rate on instrument revenue</t>
  </si>
  <si>
    <t xml:space="preserve">Instrument representatives</t>
  </si>
  <si>
    <t xml:space="preserve">Instruments segment contribution, full-year budget</t>
  </si>
  <si>
    <t xml:space="preserve">Segment_Contribution_and_Allocation, sheet Allocation</t>
  </si>
  <si>
    <t xml:space="preserve">Consumables and service contribution, full-year budget</t>
  </si>
  <si>
    <t xml:space="preserve">Installed base</t>
  </si>
  <si>
    <t xml:space="preserve">Attrition of the installed base, a year</t>
  </si>
  <si>
    <t xml:space="preserve">Standard cost set higher by (illustration)</t>
  </si>
  <si>
    <t xml:space="preserve">Chapter 16 chooses it to show the mechanism; the case supplies no alternative standard</t>
  </si>
  <si>
    <t xml:space="preserve">The bridge, budget to actual</t>
  </si>
  <si>
    <t xml:space="preserve">Change a yellow input on the Inputs sheet and every figure below moves.</t>
  </si>
  <si>
    <t xml:space="preserve">Instruments, revenue</t>
  </si>
  <si>
    <t xml:space="preserve">Step</t>
  </si>
  <si>
    <t xml:space="preserve">Working</t>
  </si>
  <si>
    <t xml:space="preserve">Amount</t>
  </si>
  <si>
    <t xml:space="preserve">Budget revenue</t>
  </si>
  <si>
    <t xml:space="preserve">units x price</t>
  </si>
  <si>
    <t xml:space="preserve">Volume effect, at budget price</t>
  </si>
  <si>
    <t xml:space="preserve">(actual units - budget units) x budget price</t>
  </si>
  <si>
    <t xml:space="preserve">Price effect, at actual volume</t>
  </si>
  <si>
    <t xml:space="preserve">(actual price - budget price) x actual units</t>
  </si>
  <si>
    <t xml:space="preserve">Actual revenue</t>
  </si>
  <si>
    <t xml:space="preserve">sum</t>
  </si>
  <si>
    <t xml:space="preserve">Instruments, gross profit</t>
  </si>
  <si>
    <t xml:space="preserve">Unit gross profit, budget</t>
  </si>
  <si>
    <t xml:space="preserve">budget price - standard cost</t>
  </si>
  <si>
    <t xml:space="preserve">Unit gross profit, actual</t>
  </si>
  <si>
    <t xml:space="preserve">actual price - standard cost</t>
  </si>
  <si>
    <t xml:space="preserve">Budget gross profit</t>
  </si>
  <si>
    <t xml:space="preserve">budget units x budget unit gross profit</t>
  </si>
  <si>
    <t xml:space="preserve">Volume effect</t>
  </si>
  <si>
    <t xml:space="preserve">(actual units - budget units) x budget unit gross profit</t>
  </si>
  <si>
    <t xml:space="preserve">Price effect</t>
  </si>
  <si>
    <t xml:space="preserve">(actual unit gross profit - budget) x actual units</t>
  </si>
  <si>
    <t xml:space="preserve">Actual gross profit</t>
  </si>
  <si>
    <t xml:space="preserve">Variance</t>
  </si>
  <si>
    <t xml:space="preserve">180 more units, and less gross profit</t>
  </si>
  <si>
    <t xml:space="preserve">The cross term, and why the convention must be stated</t>
  </si>
  <si>
    <t xml:space="preserve">Price effect at BUDGET volume</t>
  </si>
  <si>
    <t xml:space="preserve">the other convention</t>
  </si>
  <si>
    <t xml:space="preserve">Price-volume interaction</t>
  </si>
  <si>
    <t xml:space="preserve">(actual units - budget) x (actual price - budget)</t>
  </si>
  <si>
    <t xml:space="preserve">The two conventions differ by</t>
  </si>
  <si>
    <t xml:space="preserve">which is why the base must be stated</t>
  </si>
  <si>
    <t xml:space="preserve">The group</t>
  </si>
  <si>
    <t xml:space="preserve">Budget gross profit, group</t>
  </si>
  <si>
    <t xml:space="preserve">Volume, instruments</t>
  </si>
  <si>
    <t xml:space="preserve">Volume, consumables</t>
  </si>
  <si>
    <t xml:space="preserve">Volume, service</t>
  </si>
  <si>
    <t xml:space="preserve">Price and discount, instruments</t>
  </si>
  <si>
    <t xml:space="preserve">Actual gross profit, group</t>
  </si>
  <si>
    <t xml:space="preserve">Revenue and margin</t>
  </si>
  <si>
    <t xml:space="preserve">Budget revenue, group</t>
  </si>
  <si>
    <t xml:space="preserve">Actual revenue, group</t>
  </si>
  <si>
    <t xml:space="preserve">Revenue variance, per cent</t>
  </si>
  <si>
    <t xml:space="preserve">Gross profit variance, per cent</t>
  </si>
  <si>
    <t xml:space="preserve">Budget gross margin</t>
  </si>
  <si>
    <t xml:space="preserve">Actual gross margin</t>
  </si>
  <si>
    <t xml:space="preserve">Revenue at budget prices</t>
  </si>
  <si>
    <t xml:space="preserve">Gross profit at budget prices</t>
  </si>
  <si>
    <t xml:space="preserve">Gross margin at budget prices</t>
  </si>
  <si>
    <t xml:space="preserve">Mix effect, points of margin</t>
  </si>
  <si>
    <t xml:space="preserve">Price effect, points of margin</t>
  </si>
  <si>
    <t xml:space="preserve">Total movement in gross margin</t>
  </si>
  <si>
    <t xml:space="preserve">More from Chapters 4 and 5</t>
  </si>
  <si>
    <t xml:space="preserve">Volume effect on revenue at the actual price (the second convention)</t>
  </si>
  <si>
    <t xml:space="preserve">Volume at budget price plus price at budget volume: does not reconcile</t>
  </si>
  <si>
    <t xml:space="preserve">The same wrong pairing on gross profit: it turns favourable</t>
  </si>
  <si>
    <t xml:space="preserve">Realised discount, per cent of the budget price</t>
  </si>
  <si>
    <t xml:space="preserve">Instrument gross margin, budget</t>
  </si>
  <si>
    <t xml:space="preserve">Instrument gross margin, actual</t>
  </si>
  <si>
    <t xml:space="preserve">All volume effects together</t>
  </si>
  <si>
    <t xml:space="preserve">Gross profit at budget prices less budget gross profit</t>
  </si>
  <si>
    <t xml:space="preserve">Revenue growth at budget prices</t>
  </si>
  <si>
    <t xml:space="preserve">Margin gap between consumables and instruments, points</t>
  </si>
  <si>
    <t xml:space="preserve">Consumables' lost revenue, at the instrument margin</t>
  </si>
  <si>
    <t xml:space="preserve">Operating expense and EBIT, third quarter (Chapters 1 and 6)</t>
  </si>
  <si>
    <t xml:space="preserve">The last column is actual less budget: positive is money spent that the budget did not authorise.</t>
  </si>
  <si>
    <t xml:space="preserve">Line</t>
  </si>
  <si>
    <t xml:space="preserve">Budget</t>
  </si>
  <si>
    <t xml:space="preserve">Actual</t>
  </si>
  <si>
    <t xml:space="preserve">Actual less budget</t>
  </si>
  <si>
    <t xml:space="preserve">Sales and marketing</t>
  </si>
  <si>
    <t xml:space="preserve">Research and development</t>
  </si>
  <si>
    <t xml:space="preserve">General and administrative</t>
  </si>
  <si>
    <t xml:space="preserve">Total operating expense</t>
  </si>
  <si>
    <t xml:space="preserve">Gross profit</t>
  </si>
  <si>
    <t xml:space="preserve">EBIT</t>
  </si>
  <si>
    <t xml:space="preserve">Revenue against budget</t>
  </si>
  <si>
    <t xml:space="preserve">Gross profit against budget</t>
  </si>
  <si>
    <t xml:space="preserve">EBIT against budget</t>
  </si>
  <si>
    <t xml:space="preserve">EBIT margin, budget</t>
  </si>
  <si>
    <t xml:space="preserve">EBIT margin, actual</t>
  </si>
  <si>
    <t xml:space="preserve">Gross margin movement, points</t>
  </si>
  <si>
    <t xml:space="preserve">The green number (Chapter 6)</t>
  </si>
  <si>
    <t xml:space="preserve">Underspend the vacancies explain: roles x loaded rate</t>
  </si>
  <si>
    <t xml:space="preserve">Share of the reported research variance it explains</t>
  </si>
  <si>
    <t xml:space="preserve">Platform revenue the slip defers</t>
  </si>
  <si>
    <t xml:space="preserve">Gross profit deferred, at the instruments budget margin</t>
  </si>
  <si>
    <t xml:space="preserve">As a multiple of the underspend</t>
  </si>
  <si>
    <t xml:space="preserve">Platform revenue the delay may cost before the underspend stops paying</t>
  </si>
  <si>
    <t xml:space="preserve">  as a share of the platform's first full year</t>
  </si>
  <si>
    <t xml:space="preserve">  in weeks</t>
  </si>
  <si>
    <t xml:space="preserve">The slip is an assumption (Inputs, row 31). Rows 26 to 28 need none: they give the delay at which the underspend would have been worth having.</t>
  </si>
  <si>
    <t xml:space="preserve">Operating leverage and the breakeven that moves (Chapter 15)</t>
  </si>
  <si>
    <t xml:space="preserve">Operating expense is treated as fixed at this horizon, except in the last block.</t>
  </si>
  <si>
    <t xml:space="preserve">Degree of operating leverage, the year</t>
  </si>
  <si>
    <t xml:space="preserve">The same, the quarter</t>
  </si>
  <si>
    <t xml:space="preserve">Shortcut on the printed figures: 3.7591 x 4.1132</t>
  </si>
  <si>
    <t xml:space="preserve">Gross profit variance over budget EBIT</t>
  </si>
  <si>
    <t xml:space="preserve">Operating expense overrun over budget EBIT</t>
  </si>
  <si>
    <t xml:space="preserve">The two together</t>
  </si>
  <si>
    <t xml:space="preserve">Reported EBIT variance</t>
  </si>
  <si>
    <t xml:space="preserve">Share of the variance that was cost control</t>
  </si>
  <si>
    <t xml:space="preserve">Breakeven</t>
  </si>
  <si>
    <t xml:space="preserve">Third quarter's actual margin</t>
  </si>
  <si>
    <t xml:space="preserve">Reforecast full-year margin</t>
  </si>
  <si>
    <t xml:space="preserve">Breakeven revenue at the budget margin</t>
  </si>
  <si>
    <t xml:space="preserve">Breakeven revenue at the third quarter's margin</t>
  </si>
  <si>
    <t xml:space="preserve">Movement</t>
  </si>
  <si>
    <t xml:space="preserve">Breakeven revenue at the reforecast margin</t>
  </si>
  <si>
    <t xml:space="preserve">  above the budget breakeven by</t>
  </si>
  <si>
    <t xml:space="preserve">Margin of safety at budget</t>
  </si>
  <si>
    <t xml:space="preserve">Margin of safety at the third quarter's margin</t>
  </si>
  <si>
    <t xml:space="preserve">Margin of safety on the reforecast</t>
  </si>
  <si>
    <t xml:space="preserve">Fall in the cushion, points of revenue</t>
  </si>
  <si>
    <t xml:space="preserve">One point of gross margin</t>
  </si>
  <si>
    <t xml:space="preserve">On budget revenue</t>
  </si>
  <si>
    <t xml:space="preserve">  as a share of budget EBIT</t>
  </si>
  <si>
    <t xml:space="preserve">On the quarter's actual revenue</t>
  </si>
  <si>
    <t xml:space="preserve">  as a share of the quarter's budget EBIT</t>
  </si>
  <si>
    <t xml:space="preserve">Gross margin at which EBIT is zero</t>
  </si>
  <si>
    <t xml:space="preserve">Points of margin above it</t>
  </si>
  <si>
    <t xml:space="preserve">Budget EBIT margin: the same number</t>
  </si>
  <si>
    <t xml:space="preserve">If part of the cost base is variable</t>
  </si>
  <si>
    <t xml:space="preserve">Variable operating expense</t>
  </si>
  <si>
    <t xml:space="preserve">  as a rate on revenue</t>
  </si>
  <si>
    <t xml:space="preserve">Fixed base</t>
  </si>
  <si>
    <t xml:space="preserve">Margin left to cover it, at budget</t>
  </si>
  <si>
    <t xml:space="preserve">  at the third quarter's margin</t>
  </si>
  <si>
    <t xml:space="preserve">Breakeven at budget</t>
  </si>
  <si>
    <t xml:space="preserve">  lower than the all-fixed breakeven by</t>
  </si>
  <si>
    <t xml:space="preserve">Breakeven at the third quarter's margin</t>
  </si>
  <si>
    <t xml:space="preserve">Gap between the two breakevens</t>
  </si>
  <si>
    <t xml:space="preserve">Row 21 divides by the unrounded margin. On the rounded 44.2286 per cent the book first printed 655,684,330.95, which is 510.95 lower.</t>
  </si>
  <si>
    <t xml:space="preserve">What the plan pays for (Chapters 9, 16 and 17)</t>
  </si>
  <si>
    <t xml:space="preserve">Commission is a rate on instrument revenue. The gross profit plan beside it is set at the rate that pays the same at budget.</t>
  </si>
  <si>
    <t xml:space="preserve">Commission paid, budget</t>
  </si>
  <si>
    <t xml:space="preserve">Commission paid, actual</t>
  </si>
  <si>
    <t xml:space="preserve">More than budget</t>
  </si>
  <si>
    <t xml:space="preserve">Instrument gross profit against budget</t>
  </si>
  <si>
    <t xml:space="preserve">Combined swing against budget</t>
  </si>
  <si>
    <t xml:space="preserve">  as a share of instruments' full-year contribution</t>
  </si>
  <si>
    <t xml:space="preserve">Sales and marketing overspend that commission does not explain</t>
  </si>
  <si>
    <t xml:space="preserve">One unit</t>
  </si>
  <si>
    <t xml:space="preserve">Commission on a unit at the budget price</t>
  </si>
  <si>
    <t xml:space="preserve">Commission on a unit at the realised price</t>
  </si>
  <si>
    <t xml:space="preserve">What the representative gives up to grant the discount</t>
  </si>
  <si>
    <t xml:space="preserve">What the company gives up</t>
  </si>
  <si>
    <t xml:space="preserve">Exchange rate between the two</t>
  </si>
  <si>
    <t xml:space="preserve">The same plan on gross profit</t>
  </si>
  <si>
    <t xml:space="preserve">Rate that pays the same at budget</t>
  </si>
  <si>
    <t xml:space="preserve">Paid on the actual quarter</t>
  </si>
  <si>
    <t xml:space="preserve">Less than the revenue plan by</t>
  </si>
  <si>
    <t xml:space="preserve">A unit at the realised price</t>
  </si>
  <si>
    <t xml:space="preserve">Difference a unit, times the units sold</t>
  </si>
  <si>
    <t xml:space="preserve">What the representative gives up under it</t>
  </si>
  <si>
    <t xml:space="preserve">Exchange rate under it</t>
  </si>
  <si>
    <t xml:space="preserve">Standard cost set higher (Inputs, row 49): commission falls by</t>
  </si>
  <si>
    <t xml:space="preserve">Per representative, third quarter</t>
  </si>
  <si>
    <t xml:space="preserve">Revenue</t>
  </si>
  <si>
    <t xml:space="preserve">Units</t>
  </si>
  <si>
    <t xml:space="preserve">Revenue gain a head, from the variance</t>
  </si>
  <si>
    <t xml:space="preserve">  from the difference of the two rounded averages</t>
  </si>
  <si>
    <t xml:space="preserve">Gross profit fall a head</t>
  </si>
  <si>
    <t xml:space="preserve">Rounded fall times the representatives</t>
  </si>
  <si>
    <t xml:space="preserve">Where a floor would sit (Chapter 16)</t>
  </si>
  <si>
    <t xml:space="preserve">Downstream contribution per installed instrument, a year</t>
  </si>
  <si>
    <t xml:space="preserve">One-year floor</t>
  </si>
  <si>
    <t xml:space="preserve">Does the realised price clear it?</t>
  </si>
  <si>
    <t xml:space="preserve">Downstream over the implied life, per unit</t>
  </si>
  <si>
    <t xml:space="preserve">Life-horizon bound</t>
  </si>
  <si>
    <t xml:space="preserve">Room above the standard cost at the budget price</t>
  </si>
  <si>
    <t xml:space="preserve">  as a multiple of the discount</t>
  </si>
  <si>
    <t xml:space="preserve">Room at the realised price</t>
  </si>
  <si>
    <t xml:space="preserve">Discount surrendered per additional unit</t>
  </si>
  <si>
    <t xml:space="preserve">Checks</t>
  </si>
  <si>
    <t xml:space="preserve">The figure printed in the book, beside the figure this workbook computes. Every difference must be zero: a money amount to half a cent, a ratio to the sixth decimal.</t>
  </si>
  <si>
    <t xml:space="preserve">What the book prints</t>
  </si>
  <si>
    <t xml:space="preserve">Printed</t>
  </si>
  <si>
    <t xml:space="preserve">Computed here</t>
  </si>
  <si>
    <t xml:space="preserve">Difference</t>
  </si>
  <si>
    <t xml:space="preserve">Status</t>
  </si>
  <si>
    <t xml:space="preserve">Instruments volume effect on revenue</t>
  </si>
  <si>
    <t xml:space="preserve">Instruments price effect on revenue</t>
  </si>
  <si>
    <t xml:space="preserve">Instruments volume effect on gross profit</t>
  </si>
  <si>
    <t xml:space="preserve">Instruments price effect on gross profit</t>
  </si>
  <si>
    <t xml:space="preserve">Instruments gross profit variance</t>
  </si>
  <si>
    <t xml:space="preserve">Group actual gross profit</t>
  </si>
  <si>
    <t xml:space="preserve">Group gross profit variance</t>
  </si>
  <si>
    <t xml:space="preserve">Chapter 4: price at budget volume</t>
  </si>
  <si>
    <t xml:space="preserve">Chapter 4: the cross term</t>
  </si>
  <si>
    <t xml:space="preserve">Chapter 4: volume at the actual price</t>
  </si>
  <si>
    <t xml:space="preserve">Chapter 4: the pairing that does not reconcile</t>
  </si>
  <si>
    <t xml:space="preserve">Chapter 4: the wrong convention on gross profit, favourable</t>
  </si>
  <si>
    <t xml:space="preserve">Chapter 4: realised discount</t>
  </si>
  <si>
    <t xml:space="preserve">Chapter 4: instrument gross margin, actual</t>
  </si>
  <si>
    <t xml:space="preserve">Chapter 5: all volume effects</t>
  </si>
  <si>
    <t xml:space="preserve">Chapter 5: revenue growth at budget prices</t>
  </si>
  <si>
    <t xml:space="preserve">Chapter 5: consumables' lost revenue at the instrument margin</t>
  </si>
  <si>
    <t xml:space="preserve">Chapter 1: operating expense over budget</t>
  </si>
  <si>
    <t xml:space="preserve">Chapter 1: EBIT, budget</t>
  </si>
  <si>
    <t xml:space="preserve">Chapter 1: EBIT, actual</t>
  </si>
  <si>
    <t xml:space="preserve">Chapter 1: EBIT against budget</t>
  </si>
  <si>
    <t xml:space="preserve">Chapter 1: EBIT margin, budget</t>
  </si>
  <si>
    <t xml:space="preserve">Chapter 1: EBIT margin, actual</t>
  </si>
  <si>
    <t xml:space="preserve">Chapter 6: underspend explained by the vacancies</t>
  </si>
  <si>
    <t xml:space="preserve">Chapter 6: gross profit deferred by a one-quarter slip</t>
  </si>
  <si>
    <t xml:space="preserve">Chapter 6: ratio to the underspend</t>
  </si>
  <si>
    <t xml:space="preserve">Chapter 6: platform revenue at which the underspend stops paying</t>
  </si>
  <si>
    <t xml:space="preserve">Chapter 6: as a share of the platform's first year</t>
  </si>
  <si>
    <t xml:space="preserve">Chapter 15: degree of operating leverage, the year</t>
  </si>
  <si>
    <t xml:space="preserve">Chapter 15: the same, the quarter</t>
  </si>
  <si>
    <t xml:space="preserve">Chapter 15: shortcut on the printed figures</t>
  </si>
  <si>
    <t xml:space="preserve">Chapter 15: gross profit variance over budget EBIT</t>
  </si>
  <si>
    <t xml:space="preserve">Chapter 15: operating expense over budget EBIT</t>
  </si>
  <si>
    <t xml:space="preserve">Chapter 15: share that was cost control</t>
  </si>
  <si>
    <t xml:space="preserve">Chapter 15: breakeven at budget margin</t>
  </si>
  <si>
    <t xml:space="preserve">Chapter 15: breakeven at the third quarter's margin</t>
  </si>
  <si>
    <t xml:space="preserve">Chapter 15: movement</t>
  </si>
  <si>
    <t xml:space="preserve">Chapter 15: reforecast margin</t>
  </si>
  <si>
    <t xml:space="preserve">Chapter 15: breakeven at the reforecast margin (revised: the book printed 655,684,330.95 on the rounded margin)</t>
  </si>
  <si>
    <t xml:space="preserve">Chapter 15: above the budget breakeven (revised: the book printed 19,905,318.97)</t>
  </si>
  <si>
    <t xml:space="preserve">Chapter 15: margin of safety at budget</t>
  </si>
  <si>
    <t xml:space="preserve">Chapter 15: margin of safety at the quarter's margin</t>
  </si>
  <si>
    <t xml:space="preserve">Chapter 15: margin of safety on the reforecast</t>
  </si>
  <si>
    <t xml:space="preserve">Chapter 15: one point of margin on budget revenue, share of EBIT</t>
  </si>
  <si>
    <t xml:space="preserve">Chapter 15: one point on the quarter's revenue, share of its EBIT</t>
  </si>
  <si>
    <t xml:space="preserve">Chapter 15: margin at which EBIT is zero</t>
  </si>
  <si>
    <t xml:space="preserve">Chapter 15: points of margin above it</t>
  </si>
  <si>
    <t xml:space="preserve">Chapter 15: variable rate on revenue</t>
  </si>
  <si>
    <t xml:space="preserve">Chapter 15: breakeven with a tenth variable, at budget</t>
  </si>
  <si>
    <t xml:space="preserve">Chapter 15: lower than all-fixed by (revised: the book printed 16,722,787.53, a difference of rounded figures)</t>
  </si>
  <si>
    <t xml:space="preserve">Chapter 15: breakeven with a tenth variable, at the quarter's margin</t>
  </si>
  <si>
    <t xml:space="preserve">Chapter 15: gap between the two (revised: the book printed 47,443,543.66)</t>
  </si>
  <si>
    <t xml:space="preserve">Chapter 16: commission, actual</t>
  </si>
  <si>
    <t xml:space="preserve">Chapter 16: combined swing</t>
  </si>
  <si>
    <t xml:space="preserve">Chapter 16: swing as a share of instruments' contribution</t>
  </si>
  <si>
    <t xml:space="preserve">Chapter 16: exchange rate on the revenue plan</t>
  </si>
  <si>
    <t xml:space="preserve">Chapter 16: neutral gross profit rate</t>
  </si>
  <si>
    <t xml:space="preserve">Chapter 16: gross profit plan pays less by</t>
  </si>
  <si>
    <t xml:space="preserve">Chapter 16: the gap unit by unit</t>
  </si>
  <si>
    <t xml:space="preserve">Chapter 16: exchange rate on the gross profit plan</t>
  </si>
  <si>
    <t xml:space="preserve">Chapter 16: a standard one per cent higher</t>
  </si>
  <si>
    <t xml:space="preserve">Chapter 16: one-year floor</t>
  </si>
  <si>
    <t xml:space="preserve">Chapter 16: life-horizon bound</t>
  </si>
  <si>
    <t xml:space="preserve">Chapter 16: room at the realised price, multiple</t>
  </si>
  <si>
    <t xml:space="preserve">Chapter 16: discount per additional unit</t>
  </si>
  <si>
    <t xml:space="preserve">Chapter 17: sales and marketing overspend not explained by commission</t>
  </si>
  <si>
    <t xml:space="preserve">Chapter 9: revenue per representative, actual</t>
  </si>
  <si>
    <t xml:space="preserve">Chapter 9: units per representative, actual</t>
  </si>
  <si>
    <t xml:space="preserve">Chapter 9: gain a head, from the variance</t>
  </si>
  <si>
    <t xml:space="preserve">Chapter 9: the same from two roundings</t>
  </si>
  <si>
    <t xml:space="preserve">Chapter 16: rounded fall times 84</t>
  </si>
  <si>
    <t xml:space="preserve">All checks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</si>
</sst>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[RED]\-#,##0"/>
    <numFmt numFmtId="166" formatCode="#,##0.00;[RED]\-#,##0.00"/>
    <numFmt numFmtId="167" formatCode="0.00%"/>
    <numFmt numFmtId="168" formatCode="0.00"/>
    <numFmt numFmtId="169" formatCode="0.0000%"/>
    <numFmt numFmtId="170" formatCode="0.0000\x"/>
    <numFmt numFmtId="171" formatCode="0.0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58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n">
        <v>1200</v>
      </c>
    </row>
    <row r="6" customFormat="false" ht="15" hidden="false" customHeight="false" outlineLevel="0" collapsed="false">
      <c r="A6" s="4" t="s">
        <v>4</v>
      </c>
      <c r="B6" s="6" t="n">
        <v>1380</v>
      </c>
    </row>
    <row r="7" customFormat="false" ht="15" hidden="false" customHeight="false" outlineLevel="0" collapsed="false">
      <c r="A7" s="4" t="s">
        <v>5</v>
      </c>
      <c r="B7" s="7" t="n">
        <v>92000</v>
      </c>
    </row>
    <row r="8" customFormat="false" ht="15" hidden="false" customHeight="false" outlineLevel="0" collapsed="false">
      <c r="A8" s="4" t="s">
        <v>6</v>
      </c>
      <c r="B8" s="8" t="n">
        <v>88000</v>
      </c>
    </row>
    <row r="9" customFormat="false" ht="15" hidden="false" customHeight="false" outlineLevel="0" collapsed="false">
      <c r="A9" s="4" t="s">
        <v>7</v>
      </c>
      <c r="B9" s="7" t="n">
        <v>62560</v>
      </c>
      <c r="C9" s="2" t="s">
        <v>8</v>
      </c>
    </row>
    <row r="11" customFormat="false" ht="15" hidden="false" customHeight="false" outlineLevel="0" collapsed="false">
      <c r="A11" s="3" t="s">
        <v>9</v>
      </c>
    </row>
    <row r="12" customFormat="false" ht="15" hidden="false" customHeight="false" outlineLevel="0" collapsed="false">
      <c r="A12" s="4" t="s">
        <v>10</v>
      </c>
      <c r="B12" s="7" t="n">
        <v>68000000</v>
      </c>
    </row>
    <row r="13" customFormat="false" ht="15" hidden="false" customHeight="false" outlineLevel="0" collapsed="false">
      <c r="A13" s="4" t="s">
        <v>11</v>
      </c>
      <c r="B13" s="7" t="n">
        <v>62500000</v>
      </c>
    </row>
    <row r="14" customFormat="false" ht="15" hidden="false" customHeight="false" outlineLevel="0" collapsed="false">
      <c r="A14" s="4" t="s">
        <v>12</v>
      </c>
      <c r="B14" s="9" t="n">
        <v>0.68</v>
      </c>
    </row>
    <row r="15" customFormat="false" ht="15" hidden="false" customHeight="false" outlineLevel="0" collapsed="false">
      <c r="A15" s="4" t="s">
        <v>13</v>
      </c>
      <c r="B15" s="7" t="n">
        <v>31600000</v>
      </c>
    </row>
    <row r="16" customFormat="false" ht="15" hidden="false" customHeight="false" outlineLevel="0" collapsed="false">
      <c r="A16" s="4" t="s">
        <v>14</v>
      </c>
      <c r="B16" s="7" t="n">
        <v>32400000</v>
      </c>
    </row>
    <row r="17" customFormat="false" ht="15" hidden="false" customHeight="false" outlineLevel="0" collapsed="false">
      <c r="A17" s="4" t="s">
        <v>15</v>
      </c>
      <c r="B17" s="9" t="n">
        <v>0.45</v>
      </c>
    </row>
    <row r="19" customFormat="false" ht="15" hidden="false" customHeight="false" outlineLevel="0" collapsed="false">
      <c r="A19" s="3" t="s">
        <v>16</v>
      </c>
    </row>
    <row r="20" customFormat="false" ht="15" hidden="false" customHeight="false" outlineLevel="0" collapsed="false">
      <c r="A20" s="4" t="s">
        <v>17</v>
      </c>
      <c r="B20" s="5" t="n">
        <v>34000000</v>
      </c>
    </row>
    <row r="21" customFormat="false" ht="15" hidden="false" customHeight="false" outlineLevel="0" collapsed="false">
      <c r="A21" s="4" t="s">
        <v>18</v>
      </c>
      <c r="B21" s="5" t="n">
        <v>34800000</v>
      </c>
    </row>
    <row r="22" customFormat="false" ht="15" hidden="false" customHeight="false" outlineLevel="0" collapsed="false">
      <c r="A22" s="4" t="s">
        <v>19</v>
      </c>
      <c r="B22" s="5" t="n">
        <v>21000000</v>
      </c>
    </row>
    <row r="23" customFormat="false" ht="15" hidden="false" customHeight="false" outlineLevel="0" collapsed="false">
      <c r="A23" s="4" t="s">
        <v>20</v>
      </c>
      <c r="B23" s="5" t="n">
        <v>19600000</v>
      </c>
    </row>
    <row r="24" customFormat="false" ht="15" hidden="false" customHeight="false" outlineLevel="0" collapsed="false">
      <c r="A24" s="4" t="s">
        <v>21</v>
      </c>
      <c r="B24" s="5" t="n">
        <v>17500000</v>
      </c>
    </row>
    <row r="25" customFormat="false" ht="15" hidden="false" customHeight="false" outlineLevel="0" collapsed="false">
      <c r="A25" s="4" t="s">
        <v>22</v>
      </c>
      <c r="B25" s="5" t="n">
        <v>18300000</v>
      </c>
    </row>
    <row r="27" customFormat="false" ht="15" hidden="false" customHeight="false" outlineLevel="0" collapsed="false">
      <c r="A27" s="3" t="s">
        <v>23</v>
      </c>
    </row>
    <row r="28" customFormat="false" ht="15" hidden="false" customHeight="false" outlineLevel="0" collapsed="false">
      <c r="A28" s="4" t="s">
        <v>24</v>
      </c>
      <c r="B28" s="5" t="n">
        <v>14</v>
      </c>
    </row>
    <row r="29" customFormat="false" ht="15" hidden="false" customHeight="false" outlineLevel="0" collapsed="false">
      <c r="A29" s="4" t="s">
        <v>25</v>
      </c>
      <c r="B29" s="5" t="n">
        <v>100000</v>
      </c>
    </row>
    <row r="30" customFormat="false" ht="15" hidden="false" customHeight="false" outlineLevel="0" collapsed="false">
      <c r="A30" s="4" t="s">
        <v>26</v>
      </c>
      <c r="B30" s="5" t="n">
        <v>74400000</v>
      </c>
    </row>
    <row r="31" customFormat="false" ht="15" hidden="false" customHeight="false" outlineLevel="0" collapsed="false">
      <c r="A31" s="4" t="s">
        <v>27</v>
      </c>
      <c r="B31" s="10" t="n">
        <v>1</v>
      </c>
      <c r="C31" s="11" t="s">
        <v>28</v>
      </c>
    </row>
    <row r="33" customFormat="false" ht="15" hidden="false" customHeight="false" outlineLevel="0" collapsed="false">
      <c r="A33" s="3" t="s">
        <v>29</v>
      </c>
    </row>
    <row r="34" customFormat="false" ht="15" hidden="false" customHeight="false" outlineLevel="0" collapsed="false">
      <c r="A34" s="4" t="s">
        <v>30</v>
      </c>
      <c r="B34" s="5" t="n">
        <v>840000000</v>
      </c>
    </row>
    <row r="35" customFormat="false" ht="15" hidden="false" customHeight="false" outlineLevel="0" collapsed="false">
      <c r="A35" s="4" t="s">
        <v>31</v>
      </c>
      <c r="B35" s="5" t="n">
        <v>383152000</v>
      </c>
    </row>
    <row r="36" customFormat="false" ht="15" hidden="false" customHeight="false" outlineLevel="0" collapsed="false">
      <c r="A36" s="4" t="s">
        <v>32</v>
      </c>
      <c r="B36" s="5" t="n">
        <v>290000000</v>
      </c>
    </row>
    <row r="37" customFormat="false" ht="15" hidden="false" customHeight="false" outlineLevel="0" collapsed="false">
      <c r="A37" s="4" t="s">
        <v>33</v>
      </c>
      <c r="B37" s="5" t="n">
        <v>616340000</v>
      </c>
    </row>
    <row r="38" customFormat="false" ht="15" hidden="false" customHeight="false" outlineLevel="0" collapsed="false">
      <c r="A38" s="4" t="s">
        <v>34</v>
      </c>
      <c r="B38" s="5" t="n">
        <v>276413000</v>
      </c>
    </row>
    <row r="39" customFormat="false" ht="15" hidden="false" customHeight="false" outlineLevel="0" collapsed="false">
      <c r="A39" s="4" t="s">
        <v>35</v>
      </c>
      <c r="B39" s="5" t="n">
        <v>236000000</v>
      </c>
    </row>
    <row r="40" customFormat="false" ht="15" hidden="false" customHeight="false" outlineLevel="0" collapsed="false">
      <c r="A40" s="4" t="s">
        <v>36</v>
      </c>
      <c r="B40" s="12" t="n">
        <v>0.1</v>
      </c>
      <c r="C40" s="11" t="s">
        <v>37</v>
      </c>
    </row>
    <row r="42" customFormat="false" ht="15" hidden="false" customHeight="false" outlineLevel="0" collapsed="false">
      <c r="A42" s="3" t="s">
        <v>38</v>
      </c>
    </row>
    <row r="43" customFormat="false" ht="15" hidden="false" customHeight="false" outlineLevel="0" collapsed="false">
      <c r="A43" s="4" t="s">
        <v>39</v>
      </c>
      <c r="B43" s="9" t="n">
        <v>0.012</v>
      </c>
    </row>
    <row r="44" customFormat="false" ht="15" hidden="false" customHeight="false" outlineLevel="0" collapsed="false">
      <c r="A44" s="4" t="s">
        <v>40</v>
      </c>
      <c r="B44" s="5" t="n">
        <v>84</v>
      </c>
    </row>
    <row r="45" customFormat="false" ht="15" hidden="false" customHeight="false" outlineLevel="0" collapsed="false">
      <c r="A45" s="4" t="s">
        <v>41</v>
      </c>
      <c r="B45" s="5" t="n">
        <v>2312000</v>
      </c>
      <c r="C45" s="11" t="s">
        <v>42</v>
      </c>
    </row>
    <row r="46" customFormat="false" ht="15" hidden="false" customHeight="false" outlineLevel="0" collapsed="false">
      <c r="A46" s="4" t="s">
        <v>43</v>
      </c>
      <c r="B46" s="5" t="n">
        <v>166840000</v>
      </c>
    </row>
    <row r="47" customFormat="false" ht="15" hidden="false" customHeight="false" outlineLevel="0" collapsed="false">
      <c r="A47" s="4" t="s">
        <v>44</v>
      </c>
      <c r="B47" s="5" t="n">
        <v>24000</v>
      </c>
    </row>
    <row r="48" customFormat="false" ht="15" hidden="false" customHeight="false" outlineLevel="0" collapsed="false">
      <c r="A48" s="4" t="s">
        <v>45</v>
      </c>
      <c r="B48" s="9" t="n">
        <v>0.08</v>
      </c>
    </row>
    <row r="49" customFormat="false" ht="15" hidden="false" customHeight="false" outlineLevel="0" collapsed="false">
      <c r="A49" s="4" t="s">
        <v>46</v>
      </c>
      <c r="B49" s="9" t="n">
        <v>0.01</v>
      </c>
      <c r="C49" s="11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20"/>
  </cols>
  <sheetData>
    <row r="1" customFormat="false" ht="16.15" hidden="false" customHeight="false" outlineLevel="0" collapsed="false">
      <c r="A1" s="1" t="s">
        <v>48</v>
      </c>
    </row>
    <row r="2" customFormat="false" ht="15" hidden="false" customHeight="false" outlineLevel="0" collapsed="false">
      <c r="A2" s="2" t="s">
        <v>49</v>
      </c>
    </row>
    <row r="4" customFormat="false" ht="15" hidden="false" customHeight="false" outlineLevel="0" collapsed="false">
      <c r="A4" s="3" t="s">
        <v>50</v>
      </c>
    </row>
    <row r="5" customFormat="false" ht="15" hidden="false" customHeight="false" outlineLevel="0" collapsed="false">
      <c r="A5" s="13" t="s">
        <v>51</v>
      </c>
      <c r="B5" s="13" t="s">
        <v>52</v>
      </c>
      <c r="C5" s="13" t="s">
        <v>53</v>
      </c>
    </row>
    <row r="6" customFormat="false" ht="15" hidden="false" customHeight="false" outlineLevel="0" collapsed="false">
      <c r="A6" s="4" t="s">
        <v>54</v>
      </c>
      <c r="B6" s="4" t="s">
        <v>55</v>
      </c>
      <c r="C6" s="14" t="n">
        <f aca="false">Inputs!B5*Inputs!B7</f>
        <v>110400000</v>
      </c>
    </row>
    <row r="7" customFormat="false" ht="15" hidden="false" customHeight="false" outlineLevel="0" collapsed="false">
      <c r="A7" s="4" t="s">
        <v>56</v>
      </c>
      <c r="B7" s="4" t="s">
        <v>57</v>
      </c>
      <c r="C7" s="14" t="n">
        <f aca="false">(Inputs!B6-Inputs!B5)*Inputs!B7</f>
        <v>16560000</v>
      </c>
    </row>
    <row r="8" customFormat="false" ht="15" hidden="false" customHeight="false" outlineLevel="0" collapsed="false">
      <c r="A8" s="4" t="s">
        <v>58</v>
      </c>
      <c r="B8" s="4" t="s">
        <v>59</v>
      </c>
      <c r="C8" s="14" t="n">
        <f aca="false">(Inputs!B8-Inputs!B7)*Inputs!B6</f>
        <v>-5520000</v>
      </c>
    </row>
    <row r="9" customFormat="false" ht="15" hidden="false" customHeight="false" outlineLevel="0" collapsed="false">
      <c r="A9" s="3" t="s">
        <v>60</v>
      </c>
      <c r="B9" s="4" t="s">
        <v>61</v>
      </c>
      <c r="C9" s="15" t="n">
        <f aca="false">C6+C7+C8</f>
        <v>121440000</v>
      </c>
    </row>
    <row r="11" customFormat="false" ht="15" hidden="false" customHeight="false" outlineLevel="0" collapsed="false">
      <c r="A11" s="3" t="s">
        <v>62</v>
      </c>
    </row>
    <row r="12" customFormat="false" ht="15" hidden="false" customHeight="false" outlineLevel="0" collapsed="false">
      <c r="A12" s="13" t="s">
        <v>51</v>
      </c>
      <c r="B12" s="13" t="s">
        <v>52</v>
      </c>
      <c r="C12" s="13" t="s">
        <v>53</v>
      </c>
    </row>
    <row r="13" customFormat="false" ht="15" hidden="false" customHeight="false" outlineLevel="0" collapsed="false">
      <c r="A13" s="4" t="s">
        <v>63</v>
      </c>
      <c r="B13" s="4" t="s">
        <v>64</v>
      </c>
      <c r="C13" s="14" t="n">
        <f aca="false">Inputs!B7-Inputs!B9</f>
        <v>29440</v>
      </c>
    </row>
    <row r="14" customFormat="false" ht="15" hidden="false" customHeight="false" outlineLevel="0" collapsed="false">
      <c r="A14" s="4" t="s">
        <v>65</v>
      </c>
      <c r="B14" s="4" t="s">
        <v>66</v>
      </c>
      <c r="C14" s="14" t="n">
        <f aca="false">Inputs!B8-Inputs!B9</f>
        <v>25440</v>
      </c>
    </row>
    <row r="15" customFormat="false" ht="15" hidden="false" customHeight="false" outlineLevel="0" collapsed="false">
      <c r="A15" s="4" t="s">
        <v>67</v>
      </c>
      <c r="B15" s="4" t="s">
        <v>68</v>
      </c>
      <c r="C15" s="14" t="n">
        <f aca="false">Inputs!B5*C13</f>
        <v>35328000</v>
      </c>
    </row>
    <row r="16" customFormat="false" ht="15" hidden="false" customHeight="false" outlineLevel="0" collapsed="false">
      <c r="A16" s="4" t="s">
        <v>69</v>
      </c>
      <c r="B16" s="4" t="s">
        <v>70</v>
      </c>
      <c r="C16" s="14" t="n">
        <f aca="false">(Inputs!B6-Inputs!B5)*C13</f>
        <v>5299200</v>
      </c>
    </row>
    <row r="17" customFormat="false" ht="15" hidden="false" customHeight="false" outlineLevel="0" collapsed="false">
      <c r="A17" s="4" t="s">
        <v>71</v>
      </c>
      <c r="B17" s="4" t="s">
        <v>72</v>
      </c>
      <c r="C17" s="14" t="n">
        <f aca="false">(C14-C13)*Inputs!B6</f>
        <v>-5520000</v>
      </c>
    </row>
    <row r="18" customFormat="false" ht="15" hidden="false" customHeight="false" outlineLevel="0" collapsed="false">
      <c r="A18" s="3" t="s">
        <v>73</v>
      </c>
      <c r="B18" s="4" t="s">
        <v>61</v>
      </c>
      <c r="C18" s="15" t="n">
        <f aca="false">C15+C16+C17</f>
        <v>35107200</v>
      </c>
    </row>
    <row r="19" customFormat="false" ht="15" hidden="false" customHeight="false" outlineLevel="0" collapsed="false">
      <c r="A19" s="3" t="s">
        <v>74</v>
      </c>
      <c r="B19" s="4" t="s">
        <v>75</v>
      </c>
      <c r="C19" s="15" t="n">
        <f aca="false">C18-C15</f>
        <v>-220800</v>
      </c>
    </row>
    <row r="21" customFormat="false" ht="15" hidden="false" customHeight="false" outlineLevel="0" collapsed="false">
      <c r="A21" s="3" t="s">
        <v>76</v>
      </c>
    </row>
    <row r="22" customFormat="false" ht="15" hidden="false" customHeight="false" outlineLevel="0" collapsed="false">
      <c r="A22" s="13" t="s">
        <v>51</v>
      </c>
      <c r="B22" s="13" t="s">
        <v>52</v>
      </c>
      <c r="C22" s="13" t="s">
        <v>53</v>
      </c>
    </row>
    <row r="23" customFormat="false" ht="15" hidden="false" customHeight="false" outlineLevel="0" collapsed="false">
      <c r="A23" s="4" t="s">
        <v>77</v>
      </c>
      <c r="B23" s="4" t="s">
        <v>78</v>
      </c>
      <c r="C23" s="14" t="n">
        <f aca="false">(Inputs!B8-Inputs!B7)*Inputs!B5</f>
        <v>-4800000</v>
      </c>
    </row>
    <row r="24" customFormat="false" ht="15" hidden="false" customHeight="false" outlineLevel="0" collapsed="false">
      <c r="A24" s="4" t="s">
        <v>79</v>
      </c>
      <c r="B24" s="4" t="s">
        <v>80</v>
      </c>
      <c r="C24" s="14" t="n">
        <f aca="false">(Inputs!B6-Inputs!B5)*(Inputs!B8-Inputs!B7)</f>
        <v>-720000</v>
      </c>
    </row>
    <row r="25" customFormat="false" ht="15" hidden="false" customHeight="false" outlineLevel="0" collapsed="false">
      <c r="A25" s="4" t="s">
        <v>81</v>
      </c>
      <c r="B25" s="4" t="s">
        <v>82</v>
      </c>
      <c r="C25" s="14" t="n">
        <f aca="false">C8-C23</f>
        <v>-720000</v>
      </c>
    </row>
    <row r="27" customFormat="false" ht="15" hidden="false" customHeight="false" outlineLevel="0" collapsed="false">
      <c r="A27" s="3" t="s">
        <v>83</v>
      </c>
    </row>
    <row r="28" customFormat="false" ht="15" hidden="false" customHeight="false" outlineLevel="0" collapsed="false">
      <c r="A28" s="13" t="s">
        <v>51</v>
      </c>
      <c r="B28" s="13" t="s">
        <v>53</v>
      </c>
    </row>
    <row r="29" customFormat="false" ht="15" hidden="false" customHeight="false" outlineLevel="0" collapsed="false">
      <c r="A29" s="4" t="s">
        <v>84</v>
      </c>
      <c r="B29" s="14" t="n">
        <f aca="false">C15+Inputs!B12*Inputs!B14+Inputs!B15*Inputs!B17</f>
        <v>95788000</v>
      </c>
    </row>
    <row r="30" customFormat="false" ht="15" hidden="false" customHeight="false" outlineLevel="0" collapsed="false">
      <c r="A30" s="4" t="s">
        <v>85</v>
      </c>
      <c r="B30" s="14" t="n">
        <f aca="false">C16</f>
        <v>5299200</v>
      </c>
    </row>
    <row r="31" customFormat="false" ht="15" hidden="false" customHeight="false" outlineLevel="0" collapsed="false">
      <c r="A31" s="4" t="s">
        <v>86</v>
      </c>
      <c r="B31" s="14" t="n">
        <f aca="false">(Inputs!B13-Inputs!B12)*Inputs!B14</f>
        <v>-3740000</v>
      </c>
    </row>
    <row r="32" customFormat="false" ht="15" hidden="false" customHeight="false" outlineLevel="0" collapsed="false">
      <c r="A32" s="4" t="s">
        <v>87</v>
      </c>
      <c r="B32" s="14" t="n">
        <f aca="false">(Inputs!B16-Inputs!B15)*Inputs!B17</f>
        <v>360000</v>
      </c>
    </row>
    <row r="33" customFormat="false" ht="15" hidden="false" customHeight="false" outlineLevel="0" collapsed="false">
      <c r="A33" s="4" t="s">
        <v>88</v>
      </c>
      <c r="B33" s="14" t="n">
        <f aca="false">C17</f>
        <v>-5520000</v>
      </c>
    </row>
    <row r="34" customFormat="false" ht="15" hidden="false" customHeight="false" outlineLevel="0" collapsed="false">
      <c r="A34" s="3" t="s">
        <v>89</v>
      </c>
      <c r="B34" s="15" t="n">
        <f aca="false">B29+C16+B31+B32+C17</f>
        <v>92187200</v>
      </c>
    </row>
    <row r="35" customFormat="false" ht="15" hidden="false" customHeight="false" outlineLevel="0" collapsed="false">
      <c r="A35" s="3" t="s">
        <v>74</v>
      </c>
      <c r="B35" s="15" t="n">
        <f aca="false">B34-B29</f>
        <v>-3600800</v>
      </c>
    </row>
    <row r="37" customFormat="false" ht="15" hidden="false" customHeight="false" outlineLevel="0" collapsed="false">
      <c r="A37" s="3" t="s">
        <v>90</v>
      </c>
    </row>
    <row r="38" customFormat="false" ht="15" hidden="false" customHeight="false" outlineLevel="0" collapsed="false">
      <c r="A38" s="13" t="s">
        <v>51</v>
      </c>
      <c r="B38" s="13" t="s">
        <v>53</v>
      </c>
    </row>
    <row r="39" customFormat="false" ht="15" hidden="false" customHeight="false" outlineLevel="0" collapsed="false">
      <c r="A39" s="4" t="s">
        <v>91</v>
      </c>
      <c r="B39" s="14" t="n">
        <f aca="false">C6+Inputs!B12+Inputs!B15</f>
        <v>210000000</v>
      </c>
    </row>
    <row r="40" customFormat="false" ht="15" hidden="false" customHeight="false" outlineLevel="0" collapsed="false">
      <c r="A40" s="4" t="s">
        <v>92</v>
      </c>
      <c r="B40" s="14" t="n">
        <f aca="false">C9+Inputs!B13+Inputs!B16</f>
        <v>216340000</v>
      </c>
    </row>
    <row r="41" customFormat="false" ht="15" hidden="false" customHeight="false" outlineLevel="0" collapsed="false">
      <c r="A41" s="4" t="s">
        <v>93</v>
      </c>
      <c r="B41" s="16" t="n">
        <f aca="false">B40/B39-1</f>
        <v>0.0301904761904761</v>
      </c>
    </row>
    <row r="42" customFormat="false" ht="15" hidden="false" customHeight="false" outlineLevel="0" collapsed="false">
      <c r="A42" s="4" t="s">
        <v>94</v>
      </c>
      <c r="B42" s="16" t="n">
        <f aca="false">B34/B29-1</f>
        <v>-0.0375913475591932</v>
      </c>
    </row>
    <row r="43" customFormat="false" ht="15" hidden="false" customHeight="false" outlineLevel="0" collapsed="false">
      <c r="A43" s="4" t="s">
        <v>95</v>
      </c>
      <c r="B43" s="16" t="n">
        <f aca="false">B29/B39</f>
        <v>0.456133333333333</v>
      </c>
    </row>
    <row r="44" customFormat="false" ht="15" hidden="false" customHeight="false" outlineLevel="0" collapsed="false">
      <c r="A44" s="4" t="s">
        <v>96</v>
      </c>
      <c r="B44" s="16" t="n">
        <f aca="false">B34/B40</f>
        <v>0.426121845243598</v>
      </c>
    </row>
    <row r="45" customFormat="false" ht="15" hidden="false" customHeight="false" outlineLevel="0" collapsed="false">
      <c r="A45" s="4" t="s">
        <v>97</v>
      </c>
      <c r="B45" s="14" t="n">
        <f aca="false">B40-C8</f>
        <v>221860000</v>
      </c>
    </row>
    <row r="46" customFormat="false" ht="15" hidden="false" customHeight="false" outlineLevel="0" collapsed="false">
      <c r="A46" s="4" t="s">
        <v>98</v>
      </c>
      <c r="B46" s="14" t="n">
        <f aca="false">B34-C17</f>
        <v>97707200</v>
      </c>
    </row>
    <row r="47" customFormat="false" ht="15" hidden="false" customHeight="false" outlineLevel="0" collapsed="false">
      <c r="A47" s="4" t="s">
        <v>99</v>
      </c>
      <c r="B47" s="16" t="n">
        <f aca="false">B46/B45</f>
        <v>0.440400252411431</v>
      </c>
    </row>
    <row r="48" customFormat="false" ht="15" hidden="false" customHeight="false" outlineLevel="0" collapsed="false">
      <c r="A48" s="3" t="s">
        <v>100</v>
      </c>
      <c r="B48" s="17" t="n">
        <f aca="false">B47-B43</f>
        <v>-0.0157330809219027</v>
      </c>
    </row>
    <row r="49" customFormat="false" ht="15" hidden="false" customHeight="false" outlineLevel="0" collapsed="false">
      <c r="A49" s="3" t="s">
        <v>101</v>
      </c>
      <c r="B49" s="17" t="n">
        <f aca="false">B44-B47</f>
        <v>-0.0142784071678326</v>
      </c>
    </row>
    <row r="50" customFormat="false" ht="15" hidden="false" customHeight="false" outlineLevel="0" collapsed="false">
      <c r="A50" s="3" t="s">
        <v>102</v>
      </c>
      <c r="B50" s="17" t="n">
        <f aca="false">B48+B49</f>
        <v>-0.0300114880897353</v>
      </c>
    </row>
    <row r="52" customFormat="false" ht="15" hidden="false" customHeight="false" outlineLevel="0" collapsed="false">
      <c r="A52" s="3" t="s">
        <v>103</v>
      </c>
    </row>
    <row r="53" customFormat="false" ht="15" hidden="false" customHeight="false" outlineLevel="0" collapsed="false">
      <c r="A53" s="4" t="s">
        <v>104</v>
      </c>
      <c r="B53" s="14" t="n">
        <f aca="false">(Inputs!B6-Inputs!B5)*Inputs!B8</f>
        <v>15840000</v>
      </c>
    </row>
    <row r="54" customFormat="false" ht="15" hidden="false" customHeight="false" outlineLevel="0" collapsed="false">
      <c r="A54" s="4" t="s">
        <v>105</v>
      </c>
      <c r="B54" s="14" t="n">
        <f aca="false">C7+C23</f>
        <v>11760000</v>
      </c>
    </row>
    <row r="55" customFormat="false" ht="15" hidden="false" customHeight="false" outlineLevel="0" collapsed="false">
      <c r="A55" s="4" t="s">
        <v>106</v>
      </c>
      <c r="B55" s="14" t="n">
        <f aca="false">C16+(C14-C13)*Inputs!B5</f>
        <v>499200</v>
      </c>
    </row>
    <row r="56" customFormat="false" ht="15" hidden="false" customHeight="false" outlineLevel="0" collapsed="false">
      <c r="A56" s="4" t="s">
        <v>107</v>
      </c>
      <c r="B56" s="16" t="n">
        <f aca="false">(Inputs!B7-Inputs!B8)/Inputs!B7</f>
        <v>0.0434782608695652</v>
      </c>
    </row>
    <row r="57" customFormat="false" ht="15" hidden="false" customHeight="false" outlineLevel="0" collapsed="false">
      <c r="A57" s="4" t="s">
        <v>108</v>
      </c>
      <c r="B57" s="16" t="n">
        <f aca="false">C13/Inputs!B7</f>
        <v>0.32</v>
      </c>
    </row>
    <row r="58" customFormat="false" ht="15" hidden="false" customHeight="false" outlineLevel="0" collapsed="false">
      <c r="A58" s="4" t="s">
        <v>109</v>
      </c>
      <c r="B58" s="16" t="n">
        <f aca="false">C14/Inputs!B8</f>
        <v>0.289090909090909</v>
      </c>
    </row>
    <row r="59" customFormat="false" ht="15" hidden="false" customHeight="false" outlineLevel="0" collapsed="false">
      <c r="A59" s="4" t="s">
        <v>110</v>
      </c>
      <c r="B59" s="14" t="n">
        <f aca="false">B30+B31+B32</f>
        <v>1919200</v>
      </c>
    </row>
    <row r="60" customFormat="false" ht="15" hidden="false" customHeight="false" outlineLevel="0" collapsed="false">
      <c r="A60" s="4" t="s">
        <v>111</v>
      </c>
      <c r="B60" s="14" t="n">
        <f aca="false">B46-B29</f>
        <v>1919200</v>
      </c>
    </row>
    <row r="61" customFormat="false" ht="15" hidden="false" customHeight="false" outlineLevel="0" collapsed="false">
      <c r="A61" s="4" t="s">
        <v>112</v>
      </c>
      <c r="B61" s="14" t="n">
        <f aca="false">B45-B39</f>
        <v>11860000</v>
      </c>
    </row>
    <row r="62" customFormat="false" ht="15" hidden="false" customHeight="false" outlineLevel="0" collapsed="false">
      <c r="A62" s="4" t="s">
        <v>113</v>
      </c>
      <c r="B62" s="16" t="n">
        <f aca="false">Inputs!B14-C13/Inputs!B7</f>
        <v>0.36</v>
      </c>
    </row>
    <row r="63" customFormat="false" ht="15" hidden="false" customHeight="false" outlineLevel="0" collapsed="false">
      <c r="A63" s="4" t="s">
        <v>114</v>
      </c>
      <c r="B63" s="14" t="n">
        <f aca="false">(Inputs!B12-Inputs!B13)*C13/Inputs!B7</f>
        <v>1760000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20"/>
  </cols>
  <sheetData>
    <row r="1" customFormat="false" ht="16.15" hidden="false" customHeight="false" outlineLevel="0" collapsed="false">
      <c r="A1" s="1" t="s">
        <v>115</v>
      </c>
    </row>
    <row r="2" customFormat="false" ht="15" hidden="false" customHeight="false" outlineLevel="0" collapsed="false">
      <c r="A2" s="11" t="s">
        <v>116</v>
      </c>
    </row>
    <row r="4" customFormat="false" ht="15" hidden="false" customHeight="false" outlineLevel="0" collapsed="false">
      <c r="A4" s="18" t="s">
        <v>117</v>
      </c>
      <c r="B4" s="18" t="s">
        <v>118</v>
      </c>
      <c r="C4" s="18" t="s">
        <v>119</v>
      </c>
      <c r="D4" s="18" t="s">
        <v>120</v>
      </c>
    </row>
    <row r="5" customFormat="false" ht="15" hidden="false" customHeight="false" outlineLevel="0" collapsed="false">
      <c r="A5" s="4" t="s">
        <v>121</v>
      </c>
      <c r="B5" s="14" t="n">
        <f aca="false">Inputs!B20</f>
        <v>34000000</v>
      </c>
      <c r="C5" s="14" t="n">
        <f aca="false">Inputs!B21</f>
        <v>34800000</v>
      </c>
      <c r="D5" s="14" t="n">
        <f aca="false">C5-B5</f>
        <v>800000</v>
      </c>
    </row>
    <row r="6" customFormat="false" ht="15" hidden="false" customHeight="false" outlineLevel="0" collapsed="false">
      <c r="A6" s="4" t="s">
        <v>122</v>
      </c>
      <c r="B6" s="14" t="n">
        <f aca="false">Inputs!B22</f>
        <v>21000000</v>
      </c>
      <c r="C6" s="14" t="n">
        <f aca="false">Inputs!B23</f>
        <v>19600000</v>
      </c>
      <c r="D6" s="14" t="n">
        <f aca="false">C6-B6</f>
        <v>-1400000</v>
      </c>
    </row>
    <row r="7" customFormat="false" ht="15" hidden="false" customHeight="false" outlineLevel="0" collapsed="false">
      <c r="A7" s="4" t="s">
        <v>123</v>
      </c>
      <c r="B7" s="14" t="n">
        <f aca="false">Inputs!B24</f>
        <v>17500000</v>
      </c>
      <c r="C7" s="14" t="n">
        <f aca="false">Inputs!B25</f>
        <v>18300000</v>
      </c>
      <c r="D7" s="14" t="n">
        <f aca="false">C7-B7</f>
        <v>800000</v>
      </c>
    </row>
    <row r="8" customFormat="false" ht="15" hidden="false" customHeight="false" outlineLevel="0" collapsed="false">
      <c r="A8" s="3" t="s">
        <v>124</v>
      </c>
      <c r="B8" s="14" t="n">
        <f aca="false">SUM(B5:B7)</f>
        <v>72500000</v>
      </c>
      <c r="C8" s="14" t="n">
        <f aca="false">SUM(C5:C7)</f>
        <v>72700000</v>
      </c>
      <c r="D8" s="14" t="n">
        <f aca="false">C8-B8</f>
        <v>200000</v>
      </c>
    </row>
    <row r="10" customFormat="false" ht="15" hidden="false" customHeight="false" outlineLevel="0" collapsed="false">
      <c r="A10" s="4" t="s">
        <v>125</v>
      </c>
      <c r="B10" s="14" t="n">
        <f aca="false">Bridge!B29</f>
        <v>95788000</v>
      </c>
      <c r="C10" s="14" t="n">
        <f aca="false">Bridge!B34</f>
        <v>92187200</v>
      </c>
      <c r="D10" s="14" t="n">
        <f aca="false">C10-B10</f>
        <v>-3600800</v>
      </c>
    </row>
    <row r="11" customFormat="false" ht="15" hidden="false" customHeight="false" outlineLevel="0" collapsed="false">
      <c r="A11" s="3" t="s">
        <v>126</v>
      </c>
      <c r="B11" s="14" t="n">
        <f aca="false">B10-B8</f>
        <v>23288000</v>
      </c>
      <c r="C11" s="14" t="n">
        <f aca="false">C10-C8</f>
        <v>19487200</v>
      </c>
      <c r="D11" s="14" t="n">
        <f aca="false">C11-B11</f>
        <v>-3800800</v>
      </c>
    </row>
    <row r="13" customFormat="false" ht="15" hidden="false" customHeight="false" outlineLevel="0" collapsed="false">
      <c r="A13" s="4" t="s">
        <v>127</v>
      </c>
      <c r="B13" s="16" t="n">
        <f aca="false">Bridge!B41</f>
        <v>0.0301904761904761</v>
      </c>
    </row>
    <row r="14" customFormat="false" ht="15" hidden="false" customHeight="false" outlineLevel="0" collapsed="false">
      <c r="A14" s="4" t="s">
        <v>128</v>
      </c>
      <c r="B14" s="16" t="n">
        <f aca="false">Bridge!B42</f>
        <v>-0.0375913475591932</v>
      </c>
    </row>
    <row r="15" customFormat="false" ht="15" hidden="false" customHeight="false" outlineLevel="0" collapsed="false">
      <c r="A15" s="3" t="s">
        <v>129</v>
      </c>
      <c r="B15" s="17" t="n">
        <f aca="false">D11/B11</f>
        <v>-0.163208519409138</v>
      </c>
    </row>
    <row r="16" customFormat="false" ht="15" hidden="false" customHeight="false" outlineLevel="0" collapsed="false">
      <c r="A16" s="4" t="s">
        <v>130</v>
      </c>
      <c r="B16" s="16" t="n">
        <f aca="false">B11/Bridge!B39</f>
        <v>0.110895238095238</v>
      </c>
    </row>
    <row r="17" customFormat="false" ht="15" hidden="false" customHeight="false" outlineLevel="0" collapsed="false">
      <c r="A17" s="4" t="s">
        <v>131</v>
      </c>
      <c r="B17" s="16" t="n">
        <f aca="false">C11/Bridge!B40</f>
        <v>0.0900767310714616</v>
      </c>
    </row>
    <row r="18" customFormat="false" ht="15" hidden="false" customHeight="false" outlineLevel="0" collapsed="false">
      <c r="A18" s="4" t="s">
        <v>132</v>
      </c>
      <c r="B18" s="16" t="n">
        <f aca="false">Bridge!B44-Bridge!B43</f>
        <v>-0.0300114880897353</v>
      </c>
    </row>
    <row r="20" customFormat="false" ht="15" hidden="false" customHeight="false" outlineLevel="0" collapsed="false">
      <c r="A20" s="3" t="s">
        <v>133</v>
      </c>
    </row>
    <row r="21" customFormat="false" ht="15" hidden="false" customHeight="false" outlineLevel="0" collapsed="false">
      <c r="A21" s="4" t="s">
        <v>134</v>
      </c>
      <c r="B21" s="14" t="n">
        <f aca="false">Inputs!B28*Inputs!B29</f>
        <v>1400000</v>
      </c>
    </row>
    <row r="22" customFormat="false" ht="15" hidden="false" customHeight="false" outlineLevel="0" collapsed="false">
      <c r="A22" s="4" t="s">
        <v>135</v>
      </c>
      <c r="B22" s="16" t="n">
        <f aca="false">B21/-D6</f>
        <v>1</v>
      </c>
    </row>
    <row r="23" customFormat="false" ht="15" hidden="false" customHeight="false" outlineLevel="0" collapsed="false">
      <c r="A23" s="4" t="s">
        <v>136</v>
      </c>
      <c r="B23" s="14" t="n">
        <f aca="false">Inputs!B30/4*Inputs!B31</f>
        <v>18600000</v>
      </c>
    </row>
    <row r="24" customFormat="false" ht="15" hidden="false" customHeight="false" outlineLevel="0" collapsed="false">
      <c r="A24" s="4" t="s">
        <v>137</v>
      </c>
      <c r="B24" s="14" t="n">
        <f aca="false">B23*Bridge!B57</f>
        <v>5952000</v>
      </c>
    </row>
    <row r="25" customFormat="false" ht="15" hidden="false" customHeight="false" outlineLevel="0" collapsed="false">
      <c r="A25" s="3" t="s">
        <v>138</v>
      </c>
      <c r="B25" s="19" t="n">
        <f aca="false">B24/B21</f>
        <v>4.25142857142857</v>
      </c>
    </row>
    <row r="26" customFormat="false" ht="15" hidden="false" customHeight="false" outlineLevel="0" collapsed="false">
      <c r="A26" s="4" t="s">
        <v>139</v>
      </c>
      <c r="B26" s="14" t="n">
        <f aca="false">B21/Bridge!B57</f>
        <v>4375000</v>
      </c>
    </row>
    <row r="27" customFormat="false" ht="15" hidden="false" customHeight="false" outlineLevel="0" collapsed="false">
      <c r="A27" s="4" t="s">
        <v>140</v>
      </c>
      <c r="B27" s="16" t="n">
        <f aca="false">B26/Inputs!B30</f>
        <v>0.0588037634408602</v>
      </c>
    </row>
    <row r="28" customFormat="false" ht="15" hidden="false" customHeight="false" outlineLevel="0" collapsed="false">
      <c r="A28" s="4" t="s">
        <v>141</v>
      </c>
      <c r="B28" s="20" t="n">
        <f aca="false">B27*52</f>
        <v>3.05779569892473</v>
      </c>
    </row>
    <row r="30" customFormat="false" ht="15" hidden="false" customHeight="false" outlineLevel="0" collapsed="false">
      <c r="A30" s="11" t="s">
        <v>142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20"/>
  </cols>
  <sheetData>
    <row r="1" customFormat="false" ht="16.15" hidden="false" customHeight="false" outlineLevel="0" collapsed="false">
      <c r="A1" s="1" t="s">
        <v>143</v>
      </c>
    </row>
    <row r="2" customFormat="false" ht="15" hidden="false" customHeight="false" outlineLevel="0" collapsed="false">
      <c r="A2" s="11" t="s">
        <v>144</v>
      </c>
    </row>
    <row r="4" customFormat="false" ht="15" hidden="false" customHeight="false" outlineLevel="0" collapsed="false">
      <c r="A4" s="3" t="s">
        <v>145</v>
      </c>
      <c r="B4" s="19" t="n">
        <f aca="false">Inputs!B35/(Inputs!B35-Inputs!B36)</f>
        <v>4.11319134318104</v>
      </c>
    </row>
    <row r="5" customFormat="false" ht="15" hidden="false" customHeight="false" outlineLevel="0" collapsed="false">
      <c r="A5" s="4" t="s">
        <v>146</v>
      </c>
      <c r="B5" s="21" t="n">
        <f aca="false">Bridge!B29/Opex!B11</f>
        <v>4.11319134318104</v>
      </c>
    </row>
    <row r="6" customFormat="false" ht="15" hidden="false" customHeight="false" outlineLevel="0" collapsed="false">
      <c r="A6" s="4" t="s">
        <v>128</v>
      </c>
      <c r="B6" s="16" t="n">
        <f aca="false">Bridge!B42</f>
        <v>-0.0375913475591932</v>
      </c>
    </row>
    <row r="7" customFormat="false" ht="15" hidden="false" customHeight="false" outlineLevel="0" collapsed="false">
      <c r="A7" s="4" t="s">
        <v>147</v>
      </c>
      <c r="B7" s="16" t="n">
        <f aca="false">ROUND(B6,6)*ROUND(B5,4)</f>
        <v>-0.1546193012</v>
      </c>
    </row>
    <row r="8" customFormat="false" ht="15" hidden="false" customHeight="false" outlineLevel="0" collapsed="false">
      <c r="A8" s="4" t="s">
        <v>148</v>
      </c>
      <c r="B8" s="16" t="n">
        <f aca="false">Bridge!B35/Opex!B11</f>
        <v>-0.154620405358983</v>
      </c>
    </row>
    <row r="9" customFormat="false" ht="15" hidden="false" customHeight="false" outlineLevel="0" collapsed="false">
      <c r="A9" s="4" t="s">
        <v>149</v>
      </c>
      <c r="B9" s="16" t="n">
        <f aca="false">-Opex!D8/Opex!B11</f>
        <v>-0.00858811405015459</v>
      </c>
    </row>
    <row r="10" customFormat="false" ht="15" hidden="false" customHeight="false" outlineLevel="0" collapsed="false">
      <c r="A10" s="4" t="s">
        <v>150</v>
      </c>
      <c r="B10" s="16" t="n">
        <f aca="false">B8+B9</f>
        <v>-0.163208519409138</v>
      </c>
    </row>
    <row r="11" customFormat="false" ht="15" hidden="false" customHeight="false" outlineLevel="0" collapsed="false">
      <c r="A11" s="4" t="s">
        <v>151</v>
      </c>
      <c r="B11" s="16" t="n">
        <f aca="false">Opex!D11/Opex!B11</f>
        <v>-0.163208519409138</v>
      </c>
    </row>
    <row r="12" customFormat="false" ht="15" hidden="false" customHeight="false" outlineLevel="0" collapsed="false">
      <c r="A12" s="4" t="s">
        <v>152</v>
      </c>
      <c r="B12" s="16" t="n">
        <f aca="false">B9/B11</f>
        <v>0.052620500947169</v>
      </c>
    </row>
    <row r="14" customFormat="false" ht="15" hidden="false" customHeight="false" outlineLevel="0" collapsed="false">
      <c r="A14" s="3" t="s">
        <v>153</v>
      </c>
    </row>
    <row r="15" customFormat="false" ht="15" hidden="false" customHeight="false" outlineLevel="0" collapsed="false">
      <c r="A15" s="4" t="s">
        <v>95</v>
      </c>
      <c r="B15" s="16" t="n">
        <f aca="false">Inputs!B35/Inputs!B34</f>
        <v>0.456133333333333</v>
      </c>
    </row>
    <row r="16" customFormat="false" ht="15" hidden="false" customHeight="false" outlineLevel="0" collapsed="false">
      <c r="A16" s="4" t="s">
        <v>154</v>
      </c>
      <c r="B16" s="16" t="n">
        <f aca="false">Bridge!B44</f>
        <v>0.426121845243598</v>
      </c>
    </row>
    <row r="17" customFormat="false" ht="15" hidden="false" customHeight="false" outlineLevel="0" collapsed="false">
      <c r="A17" s="4" t="s">
        <v>155</v>
      </c>
      <c r="B17" s="16" t="n">
        <f aca="false">(Inputs!B38+Inputs!B39*B16)/(Inputs!B37+Inputs!B39)</f>
        <v>0.442285655345859</v>
      </c>
    </row>
    <row r="18" customFormat="false" ht="15" hidden="false" customHeight="false" outlineLevel="0" collapsed="false">
      <c r="A18" s="4" t="s">
        <v>156</v>
      </c>
      <c r="B18" s="14" t="n">
        <f aca="false">Inputs!B36/B15</f>
        <v>635779011.9848</v>
      </c>
    </row>
    <row r="19" customFormat="false" ht="15" hidden="false" customHeight="false" outlineLevel="0" collapsed="false">
      <c r="A19" s="4" t="s">
        <v>157</v>
      </c>
      <c r="B19" s="14" t="n">
        <f aca="false">Inputs!B36/B16</f>
        <v>680556519.777149</v>
      </c>
    </row>
    <row r="20" customFormat="false" ht="15" hidden="false" customHeight="false" outlineLevel="0" collapsed="false">
      <c r="A20" s="3" t="s">
        <v>158</v>
      </c>
      <c r="B20" s="15" t="n">
        <f aca="false">B19-B18</f>
        <v>44777507.7923493</v>
      </c>
    </row>
    <row r="21" customFormat="false" ht="15" hidden="false" customHeight="false" outlineLevel="0" collapsed="false">
      <c r="A21" s="4" t="s">
        <v>159</v>
      </c>
      <c r="B21" s="14" t="n">
        <f aca="false">Inputs!B36/B17</f>
        <v>655684841.899803</v>
      </c>
    </row>
    <row r="22" customFormat="false" ht="15" hidden="false" customHeight="false" outlineLevel="0" collapsed="false">
      <c r="A22" s="4" t="s">
        <v>160</v>
      </c>
      <c r="B22" s="14" t="n">
        <f aca="false">B21-B18</f>
        <v>19905829.9150031</v>
      </c>
    </row>
    <row r="23" customFormat="false" ht="15" hidden="false" customHeight="false" outlineLevel="0" collapsed="false">
      <c r="A23" s="4" t="s">
        <v>161</v>
      </c>
      <c r="B23" s="16" t="n">
        <f aca="false">(Inputs!B34-B18)/Inputs!B34</f>
        <v>0.243120223827619</v>
      </c>
    </row>
    <row r="24" customFormat="false" ht="15" hidden="false" customHeight="false" outlineLevel="0" collapsed="false">
      <c r="A24" s="4" t="s">
        <v>162</v>
      </c>
      <c r="B24" s="16" t="n">
        <f aca="false">(Inputs!B34-B19)/Inputs!B34</f>
        <v>0.189813666931965</v>
      </c>
    </row>
    <row r="25" customFormat="false" ht="15" hidden="false" customHeight="false" outlineLevel="0" collapsed="false">
      <c r="A25" s="4" t="s">
        <v>163</v>
      </c>
      <c r="B25" s="16" t="n">
        <f aca="false">((Inputs!B37+Inputs!B39)-B21)/(Inputs!B37+Inputs!B39)</f>
        <v>0.230723840369098</v>
      </c>
    </row>
    <row r="26" customFormat="false" ht="15" hidden="false" customHeight="false" outlineLevel="0" collapsed="false">
      <c r="A26" s="4" t="s">
        <v>164</v>
      </c>
      <c r="B26" s="16" t="n">
        <f aca="false">B23-B24</f>
        <v>0.053306556895654</v>
      </c>
    </row>
    <row r="28" customFormat="false" ht="15" hidden="false" customHeight="false" outlineLevel="0" collapsed="false">
      <c r="A28" s="3" t="s">
        <v>165</v>
      </c>
    </row>
    <row r="29" customFormat="false" ht="15" hidden="false" customHeight="false" outlineLevel="0" collapsed="false">
      <c r="A29" s="4" t="s">
        <v>166</v>
      </c>
      <c r="B29" s="14" t="n">
        <f aca="false">Inputs!B34*0.01</f>
        <v>8400000</v>
      </c>
    </row>
    <row r="30" customFormat="false" ht="15" hidden="false" customHeight="false" outlineLevel="0" collapsed="false">
      <c r="A30" s="3" t="s">
        <v>167</v>
      </c>
      <c r="B30" s="17" t="n">
        <f aca="false">B29/(Inputs!B35-Inputs!B36)</f>
        <v>0.0901751975266232</v>
      </c>
    </row>
    <row r="31" customFormat="false" ht="15" hidden="false" customHeight="false" outlineLevel="0" collapsed="false">
      <c r="A31" s="4" t="s">
        <v>168</v>
      </c>
      <c r="B31" s="14" t="n">
        <f aca="false">Bridge!B40*0.01</f>
        <v>2163400</v>
      </c>
    </row>
    <row r="32" customFormat="false" ht="15" hidden="false" customHeight="false" outlineLevel="0" collapsed="false">
      <c r="A32" s="4" t="s">
        <v>169</v>
      </c>
      <c r="B32" s="16" t="n">
        <f aca="false">B31/Opex!B11</f>
        <v>0.0928976296805222</v>
      </c>
    </row>
    <row r="33" customFormat="false" ht="15" hidden="false" customHeight="false" outlineLevel="0" collapsed="false">
      <c r="A33" s="4" t="s">
        <v>170</v>
      </c>
      <c r="B33" s="16" t="n">
        <f aca="false">Inputs!B36/Inputs!B34</f>
        <v>0.345238095238095</v>
      </c>
    </row>
    <row r="34" customFormat="false" ht="15" hidden="false" customHeight="false" outlineLevel="0" collapsed="false">
      <c r="A34" s="4" t="s">
        <v>171</v>
      </c>
      <c r="B34" s="16" t="n">
        <f aca="false">B15-B33</f>
        <v>0.110895238095238</v>
      </c>
    </row>
    <row r="35" customFormat="false" ht="15" hidden="false" customHeight="false" outlineLevel="0" collapsed="false">
      <c r="A35" s="4" t="s">
        <v>172</v>
      </c>
      <c r="B35" s="16" t="n">
        <f aca="false">(Inputs!B35-Inputs!B36)/Inputs!B34</f>
        <v>0.110895238095238</v>
      </c>
    </row>
    <row r="37" customFormat="false" ht="15" hidden="false" customHeight="false" outlineLevel="0" collapsed="false">
      <c r="A37" s="3" t="s">
        <v>173</v>
      </c>
    </row>
    <row r="38" customFormat="false" ht="15" hidden="false" customHeight="false" outlineLevel="0" collapsed="false">
      <c r="A38" s="4" t="s">
        <v>174</v>
      </c>
      <c r="B38" s="14" t="n">
        <f aca="false">Inputs!B36*Inputs!B40</f>
        <v>29000000</v>
      </c>
    </row>
    <row r="39" customFormat="false" ht="15" hidden="false" customHeight="false" outlineLevel="0" collapsed="false">
      <c r="A39" s="4" t="s">
        <v>175</v>
      </c>
      <c r="B39" s="16" t="n">
        <f aca="false">B38/Inputs!B34</f>
        <v>0.0345238095238095</v>
      </c>
    </row>
    <row r="40" customFormat="false" ht="15" hidden="false" customHeight="false" outlineLevel="0" collapsed="false">
      <c r="A40" s="4" t="s">
        <v>176</v>
      </c>
      <c r="B40" s="14" t="n">
        <f aca="false">Inputs!B36-B38</f>
        <v>261000000</v>
      </c>
    </row>
    <row r="41" customFormat="false" ht="15" hidden="false" customHeight="false" outlineLevel="0" collapsed="false">
      <c r="A41" s="4" t="s">
        <v>177</v>
      </c>
      <c r="B41" s="16" t="n">
        <f aca="false">B15-B39</f>
        <v>0.421609523809524</v>
      </c>
    </row>
    <row r="42" customFormat="false" ht="15" hidden="false" customHeight="false" outlineLevel="0" collapsed="false">
      <c r="A42" s="4" t="s">
        <v>178</v>
      </c>
      <c r="B42" s="16" t="n">
        <f aca="false">B16-B39</f>
        <v>0.391598035719789</v>
      </c>
    </row>
    <row r="43" customFormat="false" ht="15" hidden="false" customHeight="false" outlineLevel="0" collapsed="false">
      <c r="A43" s="4" t="s">
        <v>179</v>
      </c>
      <c r="B43" s="14" t="n">
        <f aca="false">B40/B41</f>
        <v>619056224.446001</v>
      </c>
    </row>
    <row r="44" customFormat="false" ht="15" hidden="false" customHeight="false" outlineLevel="0" collapsed="false">
      <c r="A44" s="4" t="s">
        <v>180</v>
      </c>
      <c r="B44" s="14" t="n">
        <f aca="false">B18-B43</f>
        <v>16722787.5387992</v>
      </c>
    </row>
    <row r="45" customFormat="false" ht="15" hidden="false" customHeight="false" outlineLevel="0" collapsed="false">
      <c r="A45" s="4" t="s">
        <v>181</v>
      </c>
      <c r="B45" s="14" t="n">
        <f aca="false">B40/B42</f>
        <v>666499768.111097</v>
      </c>
    </row>
    <row r="46" customFormat="false" ht="15" hidden="false" customHeight="false" outlineLevel="0" collapsed="false">
      <c r="A46" s="4" t="s">
        <v>182</v>
      </c>
      <c r="B46" s="14" t="n">
        <f aca="false">B45-B43</f>
        <v>47443543.665096</v>
      </c>
    </row>
    <row r="48" customFormat="false" ht="15" hidden="false" customHeight="false" outlineLevel="0" collapsed="false">
      <c r="A48" s="11" t="s">
        <v>183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20"/>
  </cols>
  <sheetData>
    <row r="1" customFormat="false" ht="16.15" hidden="false" customHeight="false" outlineLevel="0" collapsed="false">
      <c r="A1" s="1" t="s">
        <v>184</v>
      </c>
    </row>
    <row r="2" customFormat="false" ht="15" hidden="false" customHeight="false" outlineLevel="0" collapsed="false">
      <c r="A2" s="11" t="s">
        <v>185</v>
      </c>
    </row>
    <row r="4" customFormat="false" ht="15" hidden="false" customHeight="false" outlineLevel="0" collapsed="false">
      <c r="A4" s="4" t="s">
        <v>186</v>
      </c>
      <c r="B4" s="14" t="n">
        <f aca="false">Inputs!B43*Bridge!C6</f>
        <v>1324800</v>
      </c>
    </row>
    <row r="5" customFormat="false" ht="15" hidden="false" customHeight="false" outlineLevel="0" collapsed="false">
      <c r="A5" s="4" t="s">
        <v>187</v>
      </c>
      <c r="B5" s="14" t="n">
        <f aca="false">Inputs!B43*Bridge!C9</f>
        <v>1457280</v>
      </c>
    </row>
    <row r="6" customFormat="false" ht="15" hidden="false" customHeight="false" outlineLevel="0" collapsed="false">
      <c r="A6" s="4" t="s">
        <v>188</v>
      </c>
      <c r="B6" s="14" t="n">
        <f aca="false">B5-B4</f>
        <v>132480</v>
      </c>
    </row>
    <row r="7" customFormat="false" ht="15" hidden="false" customHeight="false" outlineLevel="0" collapsed="false">
      <c r="A7" s="4" t="s">
        <v>189</v>
      </c>
      <c r="B7" s="14" t="n">
        <f aca="false">Bridge!C19</f>
        <v>-220800</v>
      </c>
    </row>
    <row r="8" customFormat="false" ht="15" hidden="false" customHeight="false" outlineLevel="0" collapsed="false">
      <c r="A8" s="3" t="s">
        <v>190</v>
      </c>
      <c r="B8" s="15" t="n">
        <f aca="false">B6-B7</f>
        <v>353280</v>
      </c>
    </row>
    <row r="9" customFormat="false" ht="15" hidden="false" customHeight="false" outlineLevel="0" collapsed="false">
      <c r="A9" s="4" t="s">
        <v>191</v>
      </c>
      <c r="B9" s="16" t="n">
        <f aca="false">B8/Inputs!B45</f>
        <v>0.15280276816609</v>
      </c>
    </row>
    <row r="10" customFormat="false" ht="15" hidden="false" customHeight="false" outlineLevel="0" collapsed="false">
      <c r="A10" s="4" t="s">
        <v>192</v>
      </c>
      <c r="B10" s="14" t="n">
        <f aca="false">Opex!D5-B6</f>
        <v>667520</v>
      </c>
    </row>
    <row r="12" customFormat="false" ht="15" hidden="false" customHeight="false" outlineLevel="0" collapsed="false">
      <c r="A12" s="3" t="s">
        <v>193</v>
      </c>
    </row>
    <row r="13" customFormat="false" ht="15" hidden="false" customHeight="false" outlineLevel="0" collapsed="false">
      <c r="A13" s="4" t="s">
        <v>194</v>
      </c>
      <c r="B13" s="14" t="n">
        <f aca="false">Inputs!B7*Inputs!B43</f>
        <v>1104</v>
      </c>
    </row>
    <row r="14" customFormat="false" ht="15" hidden="false" customHeight="false" outlineLevel="0" collapsed="false">
      <c r="A14" s="4" t="s">
        <v>195</v>
      </c>
      <c r="B14" s="14" t="n">
        <f aca="false">Inputs!B8*Inputs!B43</f>
        <v>1056</v>
      </c>
    </row>
    <row r="15" customFormat="false" ht="15" hidden="false" customHeight="false" outlineLevel="0" collapsed="false">
      <c r="A15" s="4" t="s">
        <v>196</v>
      </c>
      <c r="B15" s="14" t="n">
        <f aca="false">B13-B14</f>
        <v>48</v>
      </c>
    </row>
    <row r="16" customFormat="false" ht="15" hidden="false" customHeight="false" outlineLevel="0" collapsed="false">
      <c r="A16" s="4" t="s">
        <v>197</v>
      </c>
      <c r="B16" s="14" t="n">
        <f aca="false">Inputs!B7-Inputs!B8</f>
        <v>4000</v>
      </c>
    </row>
    <row r="17" customFormat="false" ht="15" hidden="false" customHeight="false" outlineLevel="0" collapsed="false">
      <c r="A17" s="3" t="s">
        <v>198</v>
      </c>
      <c r="B17" s="19" t="n">
        <f aca="false">B16/B15</f>
        <v>83.3333333333333</v>
      </c>
    </row>
    <row r="19" customFormat="false" ht="15" hidden="false" customHeight="false" outlineLevel="0" collapsed="false">
      <c r="A19" s="3" t="s">
        <v>199</v>
      </c>
    </row>
    <row r="20" customFormat="false" ht="15" hidden="false" customHeight="false" outlineLevel="0" collapsed="false">
      <c r="A20" s="4" t="s">
        <v>200</v>
      </c>
      <c r="B20" s="16" t="n">
        <f aca="false">B4/Bridge!C15</f>
        <v>0.0375</v>
      </c>
    </row>
    <row r="21" customFormat="false" ht="15" hidden="false" customHeight="false" outlineLevel="0" collapsed="false">
      <c r="A21" s="4" t="s">
        <v>201</v>
      </c>
      <c r="B21" s="14" t="n">
        <f aca="false">B20*Bridge!C18</f>
        <v>1316520</v>
      </c>
    </row>
    <row r="22" customFormat="false" ht="15" hidden="false" customHeight="false" outlineLevel="0" collapsed="false">
      <c r="A22" s="3" t="s">
        <v>202</v>
      </c>
      <c r="B22" s="15" t="n">
        <f aca="false">B5-B21</f>
        <v>140760</v>
      </c>
    </row>
    <row r="23" customFormat="false" ht="15" hidden="false" customHeight="false" outlineLevel="0" collapsed="false">
      <c r="A23" s="4" t="s">
        <v>203</v>
      </c>
      <c r="B23" s="14" t="n">
        <f aca="false">Bridge!C14*B20</f>
        <v>954</v>
      </c>
    </row>
    <row r="24" customFormat="false" ht="15" hidden="false" customHeight="false" outlineLevel="0" collapsed="false">
      <c r="A24" s="4" t="s">
        <v>204</v>
      </c>
      <c r="B24" s="14" t="n">
        <f aca="false">(B14-B23)*Inputs!B6</f>
        <v>140760</v>
      </c>
    </row>
    <row r="25" customFormat="false" ht="15" hidden="false" customHeight="false" outlineLevel="0" collapsed="false">
      <c r="A25" s="4" t="s">
        <v>205</v>
      </c>
      <c r="B25" s="14" t="n">
        <f aca="false">(Bridge!C13-Bridge!C14)*B20</f>
        <v>150</v>
      </c>
    </row>
    <row r="26" customFormat="false" ht="15" hidden="false" customHeight="false" outlineLevel="0" collapsed="false">
      <c r="A26" s="4" t="s">
        <v>206</v>
      </c>
      <c r="B26" s="21" t="n">
        <f aca="false">B16/B25</f>
        <v>26.6666666666667</v>
      </c>
    </row>
    <row r="27" customFormat="false" ht="15" hidden="false" customHeight="false" outlineLevel="0" collapsed="false">
      <c r="A27" s="4" t="s">
        <v>207</v>
      </c>
      <c r="B27" s="14" t="n">
        <f aca="false">Inputs!B6*Inputs!B9*Inputs!B49*B20</f>
        <v>32374.8</v>
      </c>
    </row>
    <row r="29" customFormat="false" ht="15" hidden="false" customHeight="false" outlineLevel="0" collapsed="false">
      <c r="A29" s="18" t="s">
        <v>208</v>
      </c>
      <c r="B29" s="18" t="s">
        <v>118</v>
      </c>
      <c r="C29" s="18" t="s">
        <v>119</v>
      </c>
    </row>
    <row r="30" customFormat="false" ht="15" hidden="false" customHeight="false" outlineLevel="0" collapsed="false">
      <c r="A30" s="4" t="s">
        <v>209</v>
      </c>
      <c r="B30" s="14" t="n">
        <f aca="false">Bridge!C6/Inputs!B44</f>
        <v>1314285.71428571</v>
      </c>
      <c r="C30" s="14" t="n">
        <f aca="false">Bridge!C9/Inputs!B44</f>
        <v>1445714.28571429</v>
      </c>
    </row>
    <row r="31" customFormat="false" ht="15" hidden="false" customHeight="false" outlineLevel="0" collapsed="false">
      <c r="A31" s="4" t="s">
        <v>210</v>
      </c>
      <c r="B31" s="22" t="n">
        <f aca="false">Inputs!B5/Inputs!B44</f>
        <v>14.2857142857143</v>
      </c>
      <c r="C31" s="22" t="n">
        <f aca="false">Inputs!B6/Inputs!B44</f>
        <v>16.4285714285714</v>
      </c>
    </row>
    <row r="32" customFormat="false" ht="15" hidden="false" customHeight="false" outlineLevel="0" collapsed="false">
      <c r="A32" s="4" t="s">
        <v>125</v>
      </c>
      <c r="B32" s="14" t="n">
        <f aca="false">Bridge!C15/Inputs!B44</f>
        <v>420571.428571429</v>
      </c>
      <c r="C32" s="14" t="n">
        <f aca="false">Bridge!C18/Inputs!B44</f>
        <v>417942.857142857</v>
      </c>
    </row>
    <row r="33" customFormat="false" ht="15" hidden="false" customHeight="false" outlineLevel="0" collapsed="false">
      <c r="A33" s="4" t="s">
        <v>211</v>
      </c>
      <c r="B33" s="14" t="n">
        <f aca="false">(Bridge!C9-Bridge!C6)/Inputs!B44</f>
        <v>131428.571428571</v>
      </c>
    </row>
    <row r="34" customFormat="false" ht="15" hidden="false" customHeight="false" outlineLevel="0" collapsed="false">
      <c r="A34" s="4" t="s">
        <v>212</v>
      </c>
      <c r="B34" s="14" t="n">
        <f aca="false">ROUND(C30,2)-ROUND(B30,2)</f>
        <v>131428.58</v>
      </c>
    </row>
    <row r="35" customFormat="false" ht="15" hidden="false" customHeight="false" outlineLevel="0" collapsed="false">
      <c r="A35" s="4" t="s">
        <v>213</v>
      </c>
      <c r="B35" s="14" t="n">
        <f aca="false">B32-C32</f>
        <v>2628.57142857142</v>
      </c>
    </row>
    <row r="36" customFormat="false" ht="15" hidden="false" customHeight="false" outlineLevel="0" collapsed="false">
      <c r="A36" s="4" t="s">
        <v>214</v>
      </c>
      <c r="B36" s="14" t="n">
        <f aca="false">ROUND(B35,2)*Inputs!B44</f>
        <v>220799.88</v>
      </c>
    </row>
    <row r="38" customFormat="false" ht="15" hidden="false" customHeight="false" outlineLevel="0" collapsed="false">
      <c r="A38" s="3" t="s">
        <v>215</v>
      </c>
    </row>
    <row r="39" customFormat="false" ht="15" hidden="false" customHeight="false" outlineLevel="0" collapsed="false">
      <c r="A39" s="4" t="s">
        <v>216</v>
      </c>
      <c r="B39" s="14" t="n">
        <f aca="false">Inputs!B46/Inputs!B47</f>
        <v>6951.66666666667</v>
      </c>
    </row>
    <row r="40" customFormat="false" ht="15" hidden="false" customHeight="false" outlineLevel="0" collapsed="false">
      <c r="A40" s="4" t="s">
        <v>217</v>
      </c>
      <c r="B40" s="14" t="n">
        <f aca="false">Inputs!B7-B39</f>
        <v>85048.3333333333</v>
      </c>
    </row>
    <row r="41" customFormat="false" ht="15" hidden="false" customHeight="false" outlineLevel="0" collapsed="false">
      <c r="A41" s="4" t="s">
        <v>218</v>
      </c>
      <c r="B41" s="4" t="str">
        <f aca="false">IF(Inputs!B8&gt;=B40,"yes","no")</f>
        <v>yes</v>
      </c>
    </row>
    <row r="42" customFormat="false" ht="15" hidden="false" customHeight="false" outlineLevel="0" collapsed="false">
      <c r="A42" s="4" t="s">
        <v>219</v>
      </c>
      <c r="B42" s="14" t="n">
        <f aca="false">B39/Inputs!B48</f>
        <v>86895.8333333333</v>
      </c>
    </row>
    <row r="43" customFormat="false" ht="15" hidden="false" customHeight="false" outlineLevel="0" collapsed="false">
      <c r="A43" s="4" t="s">
        <v>220</v>
      </c>
      <c r="B43" s="14" t="n">
        <f aca="false">Inputs!B7-B42</f>
        <v>5104.16666666667</v>
      </c>
    </row>
    <row r="44" customFormat="false" ht="15" hidden="false" customHeight="false" outlineLevel="0" collapsed="false">
      <c r="A44" s="4" t="s">
        <v>221</v>
      </c>
      <c r="B44" s="14" t="n">
        <f aca="false">Inputs!B7-Inputs!B9</f>
        <v>29440</v>
      </c>
    </row>
    <row r="45" customFormat="false" ht="15" hidden="false" customHeight="false" outlineLevel="0" collapsed="false">
      <c r="A45" s="4" t="s">
        <v>222</v>
      </c>
      <c r="B45" s="21" t="n">
        <f aca="false">B44/(Inputs!B7-Inputs!B8)</f>
        <v>7.36</v>
      </c>
    </row>
    <row r="46" customFormat="false" ht="15" hidden="false" customHeight="false" outlineLevel="0" collapsed="false">
      <c r="A46" s="4" t="s">
        <v>223</v>
      </c>
      <c r="B46" s="14" t="n">
        <f aca="false">Inputs!B8-Inputs!B9</f>
        <v>25440</v>
      </c>
    </row>
    <row r="47" customFormat="false" ht="15" hidden="false" customHeight="false" outlineLevel="0" collapsed="false">
      <c r="A47" s="4" t="s">
        <v>222</v>
      </c>
      <c r="B47" s="21" t="n">
        <f aca="false">B46/(Inputs!B7-Inputs!B8)</f>
        <v>6.36</v>
      </c>
    </row>
    <row r="48" customFormat="false" ht="15" hidden="false" customHeight="false" outlineLevel="0" collapsed="false">
      <c r="A48" s="4" t="s">
        <v>224</v>
      </c>
      <c r="B48" s="14" t="n">
        <f aca="false">-Bridge!C17/(Inputs!B6-Inputs!B5)</f>
        <v>30666.6666666667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3" min="2" style="0" width="20"/>
    <col collapsed="false" customWidth="true" hidden="false" outlineLevel="0" max="4" min="4" style="0" width="14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1" t="s">
        <v>225</v>
      </c>
    </row>
    <row r="2" customFormat="false" ht="15" hidden="false" customHeight="false" outlineLevel="0" collapsed="false">
      <c r="A2" s="2" t="s">
        <v>226</v>
      </c>
    </row>
    <row r="4" customFormat="false" ht="15" hidden="false" customHeight="false" outlineLevel="0" collapsed="false">
      <c r="A4" s="13" t="s">
        <v>227</v>
      </c>
      <c r="B4" s="13" t="s">
        <v>228</v>
      </c>
      <c r="C4" s="13" t="s">
        <v>229</v>
      </c>
      <c r="D4" s="13" t="s">
        <v>230</v>
      </c>
      <c r="E4" s="13" t="s">
        <v>231</v>
      </c>
    </row>
    <row r="5" customFormat="false" ht="15" hidden="false" customHeight="false" outlineLevel="0" collapsed="false">
      <c r="A5" s="23" t="s">
        <v>232</v>
      </c>
      <c r="B5" s="14" t="n">
        <v>16560000</v>
      </c>
      <c r="C5" s="14" t="n">
        <f aca="false">Bridge!C7</f>
        <v>16560000</v>
      </c>
      <c r="D5" s="14" t="n">
        <f aca="false">ROUND(C5-B5,6)</f>
        <v>0</v>
      </c>
      <c r="E5" s="3" t="str">
        <f aca="false">IF(ISNUMBER(C5),IF(ABS(D5)&lt;IF(ABS(B5)&lt;10,0.0000005,0.005),"PASS","CHECK"),"CHECK")</f>
        <v>PASS</v>
      </c>
    </row>
    <row r="6" customFormat="false" ht="15" hidden="false" customHeight="false" outlineLevel="0" collapsed="false">
      <c r="A6" s="23" t="s">
        <v>233</v>
      </c>
      <c r="B6" s="14" t="n">
        <v>-5520000</v>
      </c>
      <c r="C6" s="14" t="n">
        <f aca="false">Bridge!C8</f>
        <v>-5520000</v>
      </c>
      <c r="D6" s="14" t="n">
        <f aca="false">ROUND(C6-B6,6)</f>
        <v>0</v>
      </c>
      <c r="E6" s="3" t="str">
        <f aca="false">IF(ISNUMBER(C6),IF(ABS(D6)&lt;IF(ABS(B6)&lt;10,0.0000005,0.005),"PASS","CHECK"),"CHECK")</f>
        <v>PASS</v>
      </c>
    </row>
    <row r="7" customFormat="false" ht="15" hidden="false" customHeight="false" outlineLevel="0" collapsed="false">
      <c r="A7" s="23" t="s">
        <v>234</v>
      </c>
      <c r="B7" s="14" t="n">
        <v>5299200</v>
      </c>
      <c r="C7" s="14" t="n">
        <f aca="false">Bridge!C16</f>
        <v>5299200</v>
      </c>
      <c r="D7" s="14" t="n">
        <f aca="false">ROUND(C7-B7,6)</f>
        <v>0</v>
      </c>
      <c r="E7" s="3" t="str">
        <f aca="false">IF(ISNUMBER(C7),IF(ABS(D7)&lt;IF(ABS(B7)&lt;10,0.0000005,0.005),"PASS","CHECK"),"CHECK")</f>
        <v>PASS</v>
      </c>
    </row>
    <row r="8" customFormat="false" ht="15" hidden="false" customHeight="false" outlineLevel="0" collapsed="false">
      <c r="A8" s="23" t="s">
        <v>235</v>
      </c>
      <c r="B8" s="14" t="n">
        <v>-5520000</v>
      </c>
      <c r="C8" s="14" t="n">
        <f aca="false">Bridge!C17</f>
        <v>-5520000</v>
      </c>
      <c r="D8" s="14" t="n">
        <f aca="false">ROUND(C8-B8,6)</f>
        <v>0</v>
      </c>
      <c r="E8" s="3" t="str">
        <f aca="false">IF(ISNUMBER(C8),IF(ABS(D8)&lt;IF(ABS(B8)&lt;10,0.0000005,0.005),"PASS","CHECK"),"CHECK")</f>
        <v>PASS</v>
      </c>
    </row>
    <row r="9" customFormat="false" ht="15" hidden="false" customHeight="false" outlineLevel="0" collapsed="false">
      <c r="A9" s="23" t="s">
        <v>236</v>
      </c>
      <c r="B9" s="14" t="n">
        <v>-220800</v>
      </c>
      <c r="C9" s="14" t="n">
        <f aca="false">Bridge!C19</f>
        <v>-220800</v>
      </c>
      <c r="D9" s="14" t="n">
        <f aca="false">ROUND(C9-B9,6)</f>
        <v>0</v>
      </c>
      <c r="E9" s="3" t="str">
        <f aca="false">IF(ISNUMBER(C9),IF(ABS(D9)&lt;IF(ABS(B9)&lt;10,0.0000005,0.005),"PASS","CHECK"),"CHECK")</f>
        <v>PASS</v>
      </c>
    </row>
    <row r="10" customFormat="false" ht="15" hidden="false" customHeight="false" outlineLevel="0" collapsed="false">
      <c r="A10" s="23" t="s">
        <v>237</v>
      </c>
      <c r="B10" s="14" t="n">
        <v>92187200</v>
      </c>
      <c r="C10" s="14" t="n">
        <f aca="false">Bridge!B34</f>
        <v>92187200</v>
      </c>
      <c r="D10" s="14" t="n">
        <f aca="false">ROUND(C10-B10,6)</f>
        <v>0</v>
      </c>
      <c r="E10" s="3" t="str">
        <f aca="false">IF(ISNUMBER(C10),IF(ABS(D10)&lt;IF(ABS(B10)&lt;10,0.0000005,0.005),"PASS","CHECK"),"CHECK")</f>
        <v>PASS</v>
      </c>
    </row>
    <row r="11" customFormat="false" ht="15" hidden="false" customHeight="false" outlineLevel="0" collapsed="false">
      <c r="A11" s="23" t="s">
        <v>238</v>
      </c>
      <c r="B11" s="14" t="n">
        <v>-3600800</v>
      </c>
      <c r="C11" s="14" t="n">
        <f aca="false">Bridge!B35</f>
        <v>-3600800</v>
      </c>
      <c r="D11" s="14" t="n">
        <f aca="false">ROUND(C11-B11,6)</f>
        <v>0</v>
      </c>
      <c r="E11" s="3" t="str">
        <f aca="false">IF(ISNUMBER(C11),IF(ABS(D11)&lt;IF(ABS(B11)&lt;10,0.0000005,0.005),"PASS","CHECK"),"CHECK")</f>
        <v>PASS</v>
      </c>
    </row>
    <row r="12" customFormat="false" ht="15" hidden="false" customHeight="false" outlineLevel="0" collapsed="false">
      <c r="A12" s="23" t="s">
        <v>93</v>
      </c>
      <c r="B12" s="16" t="n">
        <v>0.0301904761904761</v>
      </c>
      <c r="C12" s="16" t="n">
        <f aca="false">Bridge!B41</f>
        <v>0.0301904761904761</v>
      </c>
      <c r="D12" s="16" t="n">
        <f aca="false">ROUND(C12-B12,6)</f>
        <v>0</v>
      </c>
      <c r="E12" s="3" t="str">
        <f aca="false">IF(ISNUMBER(C12),IF(ABS(D12)&lt;IF(ABS(B12)&lt;10,0.0000005,0.005),"PASS","CHECK"),"CHECK")</f>
        <v>PASS</v>
      </c>
    </row>
    <row r="13" customFormat="false" ht="15" hidden="false" customHeight="false" outlineLevel="0" collapsed="false">
      <c r="A13" s="23" t="s">
        <v>94</v>
      </c>
      <c r="B13" s="16" t="n">
        <v>-0.0375913475591932</v>
      </c>
      <c r="C13" s="16" t="n">
        <f aca="false">Bridge!B42</f>
        <v>-0.0375913475591932</v>
      </c>
      <c r="D13" s="16" t="n">
        <f aca="false">ROUND(C13-B13,6)</f>
        <v>0</v>
      </c>
      <c r="E13" s="3" t="str">
        <f aca="false">IF(ISNUMBER(C13),IF(ABS(D13)&lt;IF(ABS(B13)&lt;10,0.0000005,0.005),"PASS","CHECK"),"CHECK")</f>
        <v>PASS</v>
      </c>
    </row>
    <row r="14" customFormat="false" ht="15" hidden="false" customHeight="false" outlineLevel="0" collapsed="false">
      <c r="A14" s="23" t="s">
        <v>99</v>
      </c>
      <c r="B14" s="16" t="n">
        <v>0.440400252411431</v>
      </c>
      <c r="C14" s="16" t="n">
        <f aca="false">Bridge!B47</f>
        <v>0.440400252411431</v>
      </c>
      <c r="D14" s="16" t="n">
        <f aca="false">ROUND(C14-B14,6)</f>
        <v>0</v>
      </c>
      <c r="E14" s="3" t="str">
        <f aca="false">IF(ISNUMBER(C14),IF(ABS(D14)&lt;IF(ABS(B14)&lt;10,0.0000005,0.005),"PASS","CHECK"),"CHECK")</f>
        <v>PASS</v>
      </c>
    </row>
    <row r="15" customFormat="false" ht="15" hidden="false" customHeight="false" outlineLevel="0" collapsed="false">
      <c r="A15" s="23" t="s">
        <v>100</v>
      </c>
      <c r="B15" s="16" t="n">
        <v>-0.0157330809219027</v>
      </c>
      <c r="C15" s="16" t="n">
        <f aca="false">Bridge!B48</f>
        <v>-0.0157330809219027</v>
      </c>
      <c r="D15" s="16" t="n">
        <f aca="false">ROUND(C15-B15,6)</f>
        <v>0</v>
      </c>
      <c r="E15" s="3" t="str">
        <f aca="false">IF(ISNUMBER(C15),IF(ABS(D15)&lt;IF(ABS(B15)&lt;10,0.0000005,0.005),"PASS","CHECK"),"CHECK")</f>
        <v>PASS</v>
      </c>
    </row>
    <row r="16" customFormat="false" ht="15" hidden="false" customHeight="false" outlineLevel="0" collapsed="false">
      <c r="A16" s="23" t="s">
        <v>101</v>
      </c>
      <c r="B16" s="16" t="n">
        <v>-0.0142784071678326</v>
      </c>
      <c r="C16" s="16" t="n">
        <f aca="false">Bridge!B49</f>
        <v>-0.0142784071678326</v>
      </c>
      <c r="D16" s="16" t="n">
        <f aca="false">ROUND(C16-B16,6)</f>
        <v>0</v>
      </c>
      <c r="E16" s="3" t="str">
        <f aca="false">IF(ISNUMBER(C16),IF(ABS(D16)&lt;IF(ABS(B16)&lt;10,0.0000005,0.005),"PASS","CHECK"),"CHECK")</f>
        <v>PASS</v>
      </c>
    </row>
    <row r="17" customFormat="false" ht="15" hidden="false" customHeight="false" outlineLevel="0" collapsed="false">
      <c r="A17" s="23" t="s">
        <v>102</v>
      </c>
      <c r="B17" s="16" t="n">
        <v>-0.0300114880897353</v>
      </c>
      <c r="C17" s="16" t="n">
        <f aca="false">Bridge!B50</f>
        <v>-0.0300114880897353</v>
      </c>
      <c r="D17" s="16" t="n">
        <f aca="false">ROUND(C17-B17,6)</f>
        <v>0</v>
      </c>
      <c r="E17" s="3" t="str">
        <f aca="false">IF(ISNUMBER(C17),IF(ABS(D17)&lt;IF(ABS(B17)&lt;10,0.0000005,0.005),"PASS","CHECK"),"CHECK")</f>
        <v>PASS</v>
      </c>
    </row>
    <row r="18" customFormat="false" ht="15" hidden="false" customHeight="false" outlineLevel="0" collapsed="false">
      <c r="A18" s="23" t="s">
        <v>239</v>
      </c>
      <c r="B18" s="14" t="n">
        <v>-4800000</v>
      </c>
      <c r="C18" s="14" t="n">
        <f aca="false">Bridge!C23</f>
        <v>-4800000</v>
      </c>
      <c r="D18" s="14" t="n">
        <f aca="false">ROUND(C18-B18,6)</f>
        <v>0</v>
      </c>
      <c r="E18" s="3" t="str">
        <f aca="false">IF(ISNUMBER(C18),IF(ABS(D18)&lt;IF(ABS(B18)&lt;10,0.0000005,0.005),"PASS","CHECK"),"CHECK")</f>
        <v>PASS</v>
      </c>
    </row>
    <row r="19" customFormat="false" ht="15" hidden="false" customHeight="false" outlineLevel="0" collapsed="false">
      <c r="A19" s="23" t="s">
        <v>240</v>
      </c>
      <c r="B19" s="14" t="n">
        <v>-720000</v>
      </c>
      <c r="C19" s="14" t="n">
        <f aca="false">Bridge!C24</f>
        <v>-720000</v>
      </c>
      <c r="D19" s="14" t="n">
        <f aca="false">ROUND(C19-B19,6)</f>
        <v>0</v>
      </c>
      <c r="E19" s="3" t="str">
        <f aca="false">IF(ISNUMBER(C19),IF(ABS(D19)&lt;IF(ABS(B19)&lt;10,0.0000005,0.005),"PASS","CHECK"),"CHECK")</f>
        <v>PASS</v>
      </c>
    </row>
    <row r="20" customFormat="false" ht="15" hidden="false" customHeight="false" outlineLevel="0" collapsed="false">
      <c r="A20" s="23" t="s">
        <v>241</v>
      </c>
      <c r="B20" s="14" t="n">
        <v>15840000</v>
      </c>
      <c r="C20" s="14" t="n">
        <f aca="false">Bridge!B53</f>
        <v>15840000</v>
      </c>
      <c r="D20" s="14" t="n">
        <f aca="false">ROUND(C20-B20,6)</f>
        <v>0</v>
      </c>
      <c r="E20" s="3" t="str">
        <f aca="false">IF(ISNUMBER(C20),IF(ABS(D20)&lt;IF(ABS(B20)&lt;10,0.0000005,0.005),"PASS","CHECK"),"CHECK")</f>
        <v>PASS</v>
      </c>
    </row>
    <row r="21" customFormat="false" ht="15" hidden="false" customHeight="false" outlineLevel="0" collapsed="false">
      <c r="A21" s="23" t="s">
        <v>242</v>
      </c>
      <c r="B21" s="14" t="n">
        <v>11760000</v>
      </c>
      <c r="C21" s="14" t="n">
        <f aca="false">Bridge!B54</f>
        <v>11760000</v>
      </c>
      <c r="D21" s="14" t="n">
        <f aca="false">ROUND(C21-B21,6)</f>
        <v>0</v>
      </c>
      <c r="E21" s="3" t="str">
        <f aca="false">IF(ISNUMBER(C21),IF(ABS(D21)&lt;IF(ABS(B21)&lt;10,0.0000005,0.005),"PASS","CHECK"),"CHECK")</f>
        <v>PASS</v>
      </c>
    </row>
    <row r="22" customFormat="false" ht="15" hidden="false" customHeight="false" outlineLevel="0" collapsed="false">
      <c r="A22" s="23" t="s">
        <v>243</v>
      </c>
      <c r="B22" s="14" t="n">
        <v>499200</v>
      </c>
      <c r="C22" s="14" t="n">
        <f aca="false">Bridge!B55</f>
        <v>499200</v>
      </c>
      <c r="D22" s="14" t="n">
        <f aca="false">ROUND(C22-B22,6)</f>
        <v>0</v>
      </c>
      <c r="E22" s="3" t="str">
        <f aca="false">IF(ISNUMBER(C22),IF(ABS(D22)&lt;IF(ABS(B22)&lt;10,0.0000005,0.005),"PASS","CHECK"),"CHECK")</f>
        <v>PASS</v>
      </c>
    </row>
    <row r="23" customFormat="false" ht="15" hidden="false" customHeight="false" outlineLevel="0" collapsed="false">
      <c r="A23" s="23" t="s">
        <v>244</v>
      </c>
      <c r="B23" s="16" t="n">
        <v>0.0434782608695652</v>
      </c>
      <c r="C23" s="16" t="n">
        <f aca="false">Bridge!B56</f>
        <v>0.0434782608695652</v>
      </c>
      <c r="D23" s="16" t="n">
        <f aca="false">ROUND(C23-B23,6)</f>
        <v>0</v>
      </c>
      <c r="E23" s="3" t="str">
        <f aca="false">IF(ISNUMBER(C23),IF(ABS(D23)&lt;IF(ABS(B23)&lt;10,0.0000005,0.005),"PASS","CHECK"),"CHECK")</f>
        <v>PASS</v>
      </c>
    </row>
    <row r="24" customFormat="false" ht="15" hidden="false" customHeight="false" outlineLevel="0" collapsed="false">
      <c r="A24" s="23" t="s">
        <v>245</v>
      </c>
      <c r="B24" s="16" t="n">
        <v>0.289090909090909</v>
      </c>
      <c r="C24" s="16" t="n">
        <f aca="false">Bridge!B58</f>
        <v>0.289090909090909</v>
      </c>
      <c r="D24" s="16" t="n">
        <f aca="false">ROUND(C24-B24,6)</f>
        <v>0</v>
      </c>
      <c r="E24" s="3" t="str">
        <f aca="false">IF(ISNUMBER(C24),IF(ABS(D24)&lt;IF(ABS(B24)&lt;10,0.0000005,0.005),"PASS","CHECK"),"CHECK")</f>
        <v>PASS</v>
      </c>
    </row>
    <row r="25" customFormat="false" ht="15" hidden="false" customHeight="false" outlineLevel="0" collapsed="false">
      <c r="A25" s="23" t="s">
        <v>246</v>
      </c>
      <c r="B25" s="14" t="n">
        <v>1919200</v>
      </c>
      <c r="C25" s="14" t="n">
        <f aca="false">Bridge!B59</f>
        <v>1919200</v>
      </c>
      <c r="D25" s="14" t="n">
        <f aca="false">ROUND(C25-B25,6)</f>
        <v>0</v>
      </c>
      <c r="E25" s="3" t="str">
        <f aca="false">IF(ISNUMBER(C25),IF(ABS(D25)&lt;IF(ABS(B25)&lt;10,0.0000005,0.005),"PASS","CHECK"),"CHECK")</f>
        <v>PASS</v>
      </c>
    </row>
    <row r="26" customFormat="false" ht="15" hidden="false" customHeight="false" outlineLevel="0" collapsed="false">
      <c r="A26" s="23" t="s">
        <v>247</v>
      </c>
      <c r="B26" s="14" t="n">
        <v>11860000</v>
      </c>
      <c r="C26" s="14" t="n">
        <f aca="false">Bridge!B61</f>
        <v>11860000</v>
      </c>
      <c r="D26" s="14" t="n">
        <f aca="false">ROUND(C26-B26,6)</f>
        <v>0</v>
      </c>
      <c r="E26" s="3" t="str">
        <f aca="false">IF(ISNUMBER(C26),IF(ABS(D26)&lt;IF(ABS(B26)&lt;10,0.0000005,0.005),"PASS","CHECK"),"CHECK")</f>
        <v>PASS</v>
      </c>
    </row>
    <row r="27" customFormat="false" ht="15" hidden="false" customHeight="false" outlineLevel="0" collapsed="false">
      <c r="A27" s="23" t="s">
        <v>248</v>
      </c>
      <c r="B27" s="14" t="n">
        <v>1760000</v>
      </c>
      <c r="C27" s="14" t="n">
        <f aca="false">Bridge!B63</f>
        <v>1760000</v>
      </c>
      <c r="D27" s="14" t="n">
        <f aca="false">ROUND(C27-B27,6)</f>
        <v>0</v>
      </c>
      <c r="E27" s="3" t="str">
        <f aca="false">IF(ISNUMBER(C27),IF(ABS(D27)&lt;IF(ABS(B27)&lt;10,0.0000005,0.005),"PASS","CHECK"),"CHECK")</f>
        <v>PASS</v>
      </c>
    </row>
    <row r="28" customFormat="false" ht="15" hidden="false" customHeight="false" outlineLevel="0" collapsed="false">
      <c r="A28" s="23" t="s">
        <v>249</v>
      </c>
      <c r="B28" s="14" t="n">
        <v>200000</v>
      </c>
      <c r="C28" s="14" t="n">
        <f aca="false">Opex!D8</f>
        <v>200000</v>
      </c>
      <c r="D28" s="14" t="n">
        <f aca="false">ROUND(C28-B28,6)</f>
        <v>0</v>
      </c>
      <c r="E28" s="3" t="str">
        <f aca="false">IF(ISNUMBER(C28),IF(ABS(D28)&lt;IF(ABS(B28)&lt;10,0.0000005,0.005),"PASS","CHECK"),"CHECK")</f>
        <v>PASS</v>
      </c>
    </row>
    <row r="29" customFormat="false" ht="15" hidden="false" customHeight="false" outlineLevel="0" collapsed="false">
      <c r="A29" s="23" t="s">
        <v>250</v>
      </c>
      <c r="B29" s="14" t="n">
        <v>23288000</v>
      </c>
      <c r="C29" s="14" t="n">
        <f aca="false">Opex!B11</f>
        <v>23288000</v>
      </c>
      <c r="D29" s="14" t="n">
        <f aca="false">ROUND(C29-B29,6)</f>
        <v>0</v>
      </c>
      <c r="E29" s="3" t="str">
        <f aca="false">IF(ISNUMBER(C29),IF(ABS(D29)&lt;IF(ABS(B29)&lt;10,0.0000005,0.005),"PASS","CHECK"),"CHECK")</f>
        <v>PASS</v>
      </c>
    </row>
    <row r="30" customFormat="false" ht="15" hidden="false" customHeight="false" outlineLevel="0" collapsed="false">
      <c r="A30" s="23" t="s">
        <v>251</v>
      </c>
      <c r="B30" s="14" t="n">
        <v>19487200</v>
      </c>
      <c r="C30" s="14" t="n">
        <f aca="false">Opex!C11</f>
        <v>19487200</v>
      </c>
      <c r="D30" s="14" t="n">
        <f aca="false">ROUND(C30-B30,6)</f>
        <v>0</v>
      </c>
      <c r="E30" s="3" t="str">
        <f aca="false">IF(ISNUMBER(C30),IF(ABS(D30)&lt;IF(ABS(B30)&lt;10,0.0000005,0.005),"PASS","CHECK"),"CHECK")</f>
        <v>PASS</v>
      </c>
    </row>
    <row r="31" customFormat="false" ht="15" hidden="false" customHeight="false" outlineLevel="0" collapsed="false">
      <c r="A31" s="23" t="s">
        <v>252</v>
      </c>
      <c r="B31" s="16" t="n">
        <v>-0.163208519409138</v>
      </c>
      <c r="C31" s="16" t="n">
        <f aca="false">Opex!B15</f>
        <v>-0.163208519409138</v>
      </c>
      <c r="D31" s="16" t="n">
        <f aca="false">ROUND(C31-B31,6)</f>
        <v>0</v>
      </c>
      <c r="E31" s="3" t="str">
        <f aca="false">IF(ISNUMBER(C31),IF(ABS(D31)&lt;IF(ABS(B31)&lt;10,0.0000005,0.005),"PASS","CHECK"),"CHECK")</f>
        <v>PASS</v>
      </c>
    </row>
    <row r="32" customFormat="false" ht="15" hidden="false" customHeight="false" outlineLevel="0" collapsed="false">
      <c r="A32" s="23" t="s">
        <v>253</v>
      </c>
      <c r="B32" s="16" t="n">
        <v>0.110895238095238</v>
      </c>
      <c r="C32" s="16" t="n">
        <f aca="false">Opex!B16</f>
        <v>0.110895238095238</v>
      </c>
      <c r="D32" s="16" t="n">
        <f aca="false">ROUND(C32-B32,6)</f>
        <v>0</v>
      </c>
      <c r="E32" s="3" t="str">
        <f aca="false">IF(ISNUMBER(C32),IF(ABS(D32)&lt;IF(ABS(B32)&lt;10,0.0000005,0.005),"PASS","CHECK"),"CHECK")</f>
        <v>PASS</v>
      </c>
    </row>
    <row r="33" customFormat="false" ht="15" hidden="false" customHeight="false" outlineLevel="0" collapsed="false">
      <c r="A33" s="23" t="s">
        <v>254</v>
      </c>
      <c r="B33" s="16" t="n">
        <v>0.0900767310714616</v>
      </c>
      <c r="C33" s="16" t="n">
        <f aca="false">Opex!B17</f>
        <v>0.0900767310714616</v>
      </c>
      <c r="D33" s="16" t="n">
        <f aca="false">ROUND(C33-B33,6)</f>
        <v>0</v>
      </c>
      <c r="E33" s="3" t="str">
        <f aca="false">IF(ISNUMBER(C33),IF(ABS(D33)&lt;IF(ABS(B33)&lt;10,0.0000005,0.005),"PASS","CHECK"),"CHECK")</f>
        <v>PASS</v>
      </c>
    </row>
    <row r="34" customFormat="false" ht="15" hidden="false" customHeight="false" outlineLevel="0" collapsed="false">
      <c r="A34" s="23" t="s">
        <v>255</v>
      </c>
      <c r="B34" s="14" t="n">
        <v>1400000</v>
      </c>
      <c r="C34" s="14" t="n">
        <f aca="false">Opex!B21</f>
        <v>1400000</v>
      </c>
      <c r="D34" s="14" t="n">
        <f aca="false">ROUND(C34-B34,6)</f>
        <v>0</v>
      </c>
      <c r="E34" s="3" t="str">
        <f aca="false">IF(ISNUMBER(C34),IF(ABS(D34)&lt;IF(ABS(B34)&lt;10,0.0000005,0.005),"PASS","CHECK"),"CHECK")</f>
        <v>PASS</v>
      </c>
    </row>
    <row r="35" customFormat="false" ht="15" hidden="false" customHeight="false" outlineLevel="0" collapsed="false">
      <c r="A35" s="23" t="s">
        <v>256</v>
      </c>
      <c r="B35" s="14" t="n">
        <v>5952000</v>
      </c>
      <c r="C35" s="14" t="n">
        <f aca="false">Opex!B24</f>
        <v>5952000</v>
      </c>
      <c r="D35" s="14" t="n">
        <f aca="false">ROUND(C35-B35,6)</f>
        <v>0</v>
      </c>
      <c r="E35" s="3" t="str">
        <f aca="false">IF(ISNUMBER(C35),IF(ABS(D35)&lt;IF(ABS(B35)&lt;10,0.0000005,0.005),"PASS","CHECK"),"CHECK")</f>
        <v>PASS</v>
      </c>
    </row>
    <row r="36" customFormat="false" ht="15" hidden="false" customHeight="false" outlineLevel="0" collapsed="false">
      <c r="A36" s="23" t="s">
        <v>257</v>
      </c>
      <c r="B36" s="21" t="n">
        <v>4.25142857142857</v>
      </c>
      <c r="C36" s="21" t="n">
        <f aca="false">Opex!B25</f>
        <v>4.25142857142857</v>
      </c>
      <c r="D36" s="21" t="n">
        <f aca="false">ROUND(C36-B36,6)</f>
        <v>0</v>
      </c>
      <c r="E36" s="3" t="str">
        <f aca="false">IF(ISNUMBER(C36),IF(ABS(D36)&lt;IF(ABS(B36)&lt;10,0.0000005,0.005),"PASS","CHECK"),"CHECK")</f>
        <v>PASS</v>
      </c>
    </row>
    <row r="37" customFormat="false" ht="15" hidden="false" customHeight="false" outlineLevel="0" collapsed="false">
      <c r="A37" s="23" t="s">
        <v>258</v>
      </c>
      <c r="B37" s="14" t="n">
        <v>4375000</v>
      </c>
      <c r="C37" s="14" t="n">
        <f aca="false">Opex!B26</f>
        <v>4375000</v>
      </c>
      <c r="D37" s="14" t="n">
        <f aca="false">ROUND(C37-B37,6)</f>
        <v>0</v>
      </c>
      <c r="E37" s="3" t="str">
        <f aca="false">IF(ISNUMBER(C37),IF(ABS(D37)&lt;IF(ABS(B37)&lt;10,0.0000005,0.005),"PASS","CHECK"),"CHECK")</f>
        <v>PASS</v>
      </c>
    </row>
    <row r="38" customFormat="false" ht="15" hidden="false" customHeight="false" outlineLevel="0" collapsed="false">
      <c r="A38" s="23" t="s">
        <v>259</v>
      </c>
      <c r="B38" s="16" t="n">
        <v>0.0588037634408602</v>
      </c>
      <c r="C38" s="16" t="n">
        <f aca="false">Opex!B27</f>
        <v>0.0588037634408602</v>
      </c>
      <c r="D38" s="16" t="n">
        <f aca="false">ROUND(C38-B38,6)</f>
        <v>0</v>
      </c>
      <c r="E38" s="3" t="str">
        <f aca="false">IF(ISNUMBER(C38),IF(ABS(D38)&lt;IF(ABS(B38)&lt;10,0.0000005,0.005),"PASS","CHECK"),"CHECK")</f>
        <v>PASS</v>
      </c>
    </row>
    <row r="39" customFormat="false" ht="15" hidden="false" customHeight="false" outlineLevel="0" collapsed="false">
      <c r="A39" s="23" t="s">
        <v>260</v>
      </c>
      <c r="B39" s="21" t="n">
        <v>4.11319134318104</v>
      </c>
      <c r="C39" s="21" t="n">
        <f aca="false">Leverage!B4</f>
        <v>4.11319134318104</v>
      </c>
      <c r="D39" s="21" t="n">
        <f aca="false">ROUND(C39-B39,6)</f>
        <v>0</v>
      </c>
      <c r="E39" s="3" t="str">
        <f aca="false">IF(ISNUMBER(C39),IF(ABS(D39)&lt;IF(ABS(B39)&lt;10,0.0000005,0.005),"PASS","CHECK"),"CHECK")</f>
        <v>PASS</v>
      </c>
    </row>
    <row r="40" customFormat="false" ht="15" hidden="false" customHeight="false" outlineLevel="0" collapsed="false">
      <c r="A40" s="23" t="s">
        <v>261</v>
      </c>
      <c r="B40" s="21" t="n">
        <v>4.11319134318104</v>
      </c>
      <c r="C40" s="21" t="n">
        <f aca="false">Leverage!B5</f>
        <v>4.11319134318104</v>
      </c>
      <c r="D40" s="21" t="n">
        <f aca="false">ROUND(C40-B40,6)</f>
        <v>0</v>
      </c>
      <c r="E40" s="3" t="str">
        <f aca="false">IF(ISNUMBER(C40),IF(ABS(D40)&lt;IF(ABS(B40)&lt;10,0.0000005,0.005),"PASS","CHECK"),"CHECK")</f>
        <v>PASS</v>
      </c>
    </row>
    <row r="41" customFormat="false" ht="15" hidden="false" customHeight="false" outlineLevel="0" collapsed="false">
      <c r="A41" s="23" t="s">
        <v>262</v>
      </c>
      <c r="B41" s="16" t="n">
        <v>-0.154619</v>
      </c>
      <c r="C41" s="16" t="n">
        <f aca="false">ROUND(Leverage!B7,6)</f>
        <v>-0.154619</v>
      </c>
      <c r="D41" s="16" t="n">
        <f aca="false">ROUND(C41-B41,6)</f>
        <v>0</v>
      </c>
      <c r="E41" s="3" t="str">
        <f aca="false">IF(ISNUMBER(C41),IF(ABS(D41)&lt;IF(ABS(B41)&lt;10,0.0000005,0.005),"PASS","CHECK"),"CHECK")</f>
        <v>PASS</v>
      </c>
    </row>
    <row r="42" customFormat="false" ht="15" hidden="false" customHeight="false" outlineLevel="0" collapsed="false">
      <c r="A42" s="23" t="s">
        <v>263</v>
      </c>
      <c r="B42" s="16" t="n">
        <v>-0.154620405358983</v>
      </c>
      <c r="C42" s="16" t="n">
        <f aca="false">Leverage!B8</f>
        <v>-0.154620405358983</v>
      </c>
      <c r="D42" s="16" t="n">
        <f aca="false">ROUND(C42-B42,6)</f>
        <v>0</v>
      </c>
      <c r="E42" s="3" t="str">
        <f aca="false">IF(ISNUMBER(C42),IF(ABS(D42)&lt;IF(ABS(B42)&lt;10,0.0000005,0.005),"PASS","CHECK"),"CHECK")</f>
        <v>PASS</v>
      </c>
    </row>
    <row r="43" customFormat="false" ht="15" hidden="false" customHeight="false" outlineLevel="0" collapsed="false">
      <c r="A43" s="23" t="s">
        <v>264</v>
      </c>
      <c r="B43" s="16" t="n">
        <v>-0.00858811405015459</v>
      </c>
      <c r="C43" s="16" t="n">
        <f aca="false">Leverage!B9</f>
        <v>-0.00858811405015459</v>
      </c>
      <c r="D43" s="16" t="n">
        <f aca="false">ROUND(C43-B43,6)</f>
        <v>0</v>
      </c>
      <c r="E43" s="3" t="str">
        <f aca="false">IF(ISNUMBER(C43),IF(ABS(D43)&lt;IF(ABS(B43)&lt;10,0.0000005,0.005),"PASS","CHECK"),"CHECK")</f>
        <v>PASS</v>
      </c>
    </row>
    <row r="44" customFormat="false" ht="15" hidden="false" customHeight="false" outlineLevel="0" collapsed="false">
      <c r="A44" s="23" t="s">
        <v>265</v>
      </c>
      <c r="B44" s="16" t="n">
        <v>0.052620500947169</v>
      </c>
      <c r="C44" s="16" t="n">
        <f aca="false">Leverage!B12</f>
        <v>0.052620500947169</v>
      </c>
      <c r="D44" s="16" t="n">
        <f aca="false">ROUND(C44-B44,6)</f>
        <v>0</v>
      </c>
      <c r="E44" s="3" t="str">
        <f aca="false">IF(ISNUMBER(C44),IF(ABS(D44)&lt;IF(ABS(B44)&lt;10,0.0000005,0.005),"PASS","CHECK"),"CHECK")</f>
        <v>PASS</v>
      </c>
    </row>
    <row r="45" customFormat="false" ht="15" hidden="false" customHeight="false" outlineLevel="0" collapsed="false">
      <c r="A45" s="23" t="s">
        <v>266</v>
      </c>
      <c r="B45" s="14" t="n">
        <v>635779011.9848</v>
      </c>
      <c r="C45" s="14" t="n">
        <f aca="false">Leverage!B18</f>
        <v>635779011.9848</v>
      </c>
      <c r="D45" s="14" t="n">
        <f aca="false">ROUND(C45-B45,6)</f>
        <v>0</v>
      </c>
      <c r="E45" s="3" t="str">
        <f aca="false">IF(ISNUMBER(C45),IF(ABS(D45)&lt;IF(ABS(B45)&lt;10,0.0000005,0.005),"PASS","CHECK"),"CHECK")</f>
        <v>PASS</v>
      </c>
    </row>
    <row r="46" customFormat="false" ht="15" hidden="false" customHeight="false" outlineLevel="0" collapsed="false">
      <c r="A46" s="23" t="s">
        <v>267</v>
      </c>
      <c r="B46" s="14" t="n">
        <v>680556519.777149</v>
      </c>
      <c r="C46" s="14" t="n">
        <f aca="false">Leverage!B19</f>
        <v>680556519.777149</v>
      </c>
      <c r="D46" s="14" t="n">
        <f aca="false">ROUND(C46-B46,6)</f>
        <v>0</v>
      </c>
      <c r="E46" s="3" t="str">
        <f aca="false">IF(ISNUMBER(C46),IF(ABS(D46)&lt;IF(ABS(B46)&lt;10,0.0000005,0.005),"PASS","CHECK"),"CHECK")</f>
        <v>PASS</v>
      </c>
    </row>
    <row r="47" customFormat="false" ht="15" hidden="false" customHeight="false" outlineLevel="0" collapsed="false">
      <c r="A47" s="23" t="s">
        <v>268</v>
      </c>
      <c r="B47" s="14" t="n">
        <v>44777507.7923493</v>
      </c>
      <c r="C47" s="14" t="n">
        <f aca="false">Leverage!B20</f>
        <v>44777507.7923493</v>
      </c>
      <c r="D47" s="14" t="n">
        <f aca="false">ROUND(C47-B47,6)</f>
        <v>0</v>
      </c>
      <c r="E47" s="3" t="str">
        <f aca="false">IF(ISNUMBER(C47),IF(ABS(D47)&lt;IF(ABS(B47)&lt;10,0.0000005,0.005),"PASS","CHECK"),"CHECK")</f>
        <v>PASS</v>
      </c>
    </row>
    <row r="48" customFormat="false" ht="15" hidden="false" customHeight="false" outlineLevel="0" collapsed="false">
      <c r="A48" s="23" t="s">
        <v>269</v>
      </c>
      <c r="B48" s="16" t="n">
        <v>0.442285655345859</v>
      </c>
      <c r="C48" s="16" t="n">
        <f aca="false">Leverage!B17</f>
        <v>0.442285655345859</v>
      </c>
      <c r="D48" s="16" t="n">
        <f aca="false">ROUND(C48-B48,6)</f>
        <v>0</v>
      </c>
      <c r="E48" s="3" t="str">
        <f aca="false">IF(ISNUMBER(C48),IF(ABS(D48)&lt;IF(ABS(B48)&lt;10,0.0000005,0.005),"PASS","CHECK"),"CHECK")</f>
        <v>PASS</v>
      </c>
    </row>
    <row r="49" customFormat="false" ht="23.85" hidden="false" customHeight="false" outlineLevel="0" collapsed="false">
      <c r="A49" s="23" t="s">
        <v>270</v>
      </c>
      <c r="B49" s="14" t="n">
        <v>655684841.899803</v>
      </c>
      <c r="C49" s="14" t="n">
        <f aca="false">Leverage!B21</f>
        <v>655684841.899803</v>
      </c>
      <c r="D49" s="14" t="n">
        <f aca="false">ROUND(C49-B49,6)</f>
        <v>0</v>
      </c>
      <c r="E49" s="3" t="str">
        <f aca="false">IF(ISNUMBER(C49),IF(ABS(D49)&lt;IF(ABS(B49)&lt;10,0.0000005,0.005),"PASS","CHECK"),"CHECK")</f>
        <v>PASS</v>
      </c>
    </row>
    <row r="50" customFormat="false" ht="15" hidden="false" customHeight="false" outlineLevel="0" collapsed="false">
      <c r="A50" s="23" t="s">
        <v>271</v>
      </c>
      <c r="B50" s="14" t="n">
        <v>19905829.9150031</v>
      </c>
      <c r="C50" s="14" t="n">
        <f aca="false">Leverage!B22</f>
        <v>19905829.9150031</v>
      </c>
      <c r="D50" s="14" t="n">
        <f aca="false">ROUND(C50-B50,6)</f>
        <v>0</v>
      </c>
      <c r="E50" s="3" t="str">
        <f aca="false">IF(ISNUMBER(C50),IF(ABS(D50)&lt;IF(ABS(B50)&lt;10,0.0000005,0.005),"PASS","CHECK"),"CHECK")</f>
        <v>PASS</v>
      </c>
    </row>
    <row r="51" customFormat="false" ht="15" hidden="false" customHeight="false" outlineLevel="0" collapsed="false">
      <c r="A51" s="23" t="s">
        <v>272</v>
      </c>
      <c r="B51" s="16" t="n">
        <v>0.243120223827619</v>
      </c>
      <c r="C51" s="16" t="n">
        <f aca="false">Leverage!B23</f>
        <v>0.243120223827619</v>
      </c>
      <c r="D51" s="16" t="n">
        <f aca="false">ROUND(C51-B51,6)</f>
        <v>0</v>
      </c>
      <c r="E51" s="3" t="str">
        <f aca="false">IF(ISNUMBER(C51),IF(ABS(D51)&lt;IF(ABS(B51)&lt;10,0.0000005,0.005),"PASS","CHECK"),"CHECK")</f>
        <v>PASS</v>
      </c>
    </row>
    <row r="52" customFormat="false" ht="15" hidden="false" customHeight="false" outlineLevel="0" collapsed="false">
      <c r="A52" s="23" t="s">
        <v>273</v>
      </c>
      <c r="B52" s="16" t="n">
        <v>0.189813666931965</v>
      </c>
      <c r="C52" s="16" t="n">
        <f aca="false">Leverage!B24</f>
        <v>0.189813666931965</v>
      </c>
      <c r="D52" s="16" t="n">
        <f aca="false">ROUND(C52-B52,6)</f>
        <v>0</v>
      </c>
      <c r="E52" s="3" t="str">
        <f aca="false">IF(ISNUMBER(C52),IF(ABS(D52)&lt;IF(ABS(B52)&lt;10,0.0000005,0.005),"PASS","CHECK"),"CHECK")</f>
        <v>PASS</v>
      </c>
    </row>
    <row r="53" customFormat="false" ht="15" hidden="false" customHeight="false" outlineLevel="0" collapsed="false">
      <c r="A53" s="23" t="s">
        <v>274</v>
      </c>
      <c r="B53" s="16" t="n">
        <v>0.230723840369098</v>
      </c>
      <c r="C53" s="16" t="n">
        <f aca="false">Leverage!B25</f>
        <v>0.230723840369098</v>
      </c>
      <c r="D53" s="16" t="n">
        <f aca="false">ROUND(C53-B53,6)</f>
        <v>0</v>
      </c>
      <c r="E53" s="3" t="str">
        <f aca="false">IF(ISNUMBER(C53),IF(ABS(D53)&lt;IF(ABS(B53)&lt;10,0.0000005,0.005),"PASS","CHECK"),"CHECK")</f>
        <v>PASS</v>
      </c>
    </row>
    <row r="54" customFormat="false" ht="15" hidden="false" customHeight="false" outlineLevel="0" collapsed="false">
      <c r="A54" s="23" t="s">
        <v>275</v>
      </c>
      <c r="B54" s="16" t="n">
        <v>0.0901751975266232</v>
      </c>
      <c r="C54" s="16" t="n">
        <f aca="false">Leverage!B30</f>
        <v>0.0901751975266232</v>
      </c>
      <c r="D54" s="16" t="n">
        <f aca="false">ROUND(C54-B54,6)</f>
        <v>0</v>
      </c>
      <c r="E54" s="3" t="str">
        <f aca="false">IF(ISNUMBER(C54),IF(ABS(D54)&lt;IF(ABS(B54)&lt;10,0.0000005,0.005),"PASS","CHECK"),"CHECK")</f>
        <v>PASS</v>
      </c>
    </row>
    <row r="55" customFormat="false" ht="15" hidden="false" customHeight="false" outlineLevel="0" collapsed="false">
      <c r="A55" s="23" t="s">
        <v>276</v>
      </c>
      <c r="B55" s="16" t="n">
        <v>0.0928976296805222</v>
      </c>
      <c r="C55" s="16" t="n">
        <f aca="false">Leverage!B32</f>
        <v>0.0928976296805222</v>
      </c>
      <c r="D55" s="16" t="n">
        <f aca="false">ROUND(C55-B55,6)</f>
        <v>0</v>
      </c>
      <c r="E55" s="3" t="str">
        <f aca="false">IF(ISNUMBER(C55),IF(ABS(D55)&lt;IF(ABS(B55)&lt;10,0.0000005,0.005),"PASS","CHECK"),"CHECK")</f>
        <v>PASS</v>
      </c>
    </row>
    <row r="56" customFormat="false" ht="15" hidden="false" customHeight="false" outlineLevel="0" collapsed="false">
      <c r="A56" s="23" t="s">
        <v>277</v>
      </c>
      <c r="B56" s="16" t="n">
        <v>0.345238095238095</v>
      </c>
      <c r="C56" s="16" t="n">
        <f aca="false">Leverage!B33</f>
        <v>0.345238095238095</v>
      </c>
      <c r="D56" s="16" t="n">
        <f aca="false">ROUND(C56-B56,6)</f>
        <v>0</v>
      </c>
      <c r="E56" s="3" t="str">
        <f aca="false">IF(ISNUMBER(C56),IF(ABS(D56)&lt;IF(ABS(B56)&lt;10,0.0000005,0.005),"PASS","CHECK"),"CHECK")</f>
        <v>PASS</v>
      </c>
    </row>
    <row r="57" customFormat="false" ht="15" hidden="false" customHeight="false" outlineLevel="0" collapsed="false">
      <c r="A57" s="23" t="s">
        <v>278</v>
      </c>
      <c r="B57" s="16" t="n">
        <v>0.110895238095238</v>
      </c>
      <c r="C57" s="16" t="n">
        <f aca="false">Leverage!B34</f>
        <v>0.110895238095238</v>
      </c>
      <c r="D57" s="16" t="n">
        <f aca="false">ROUND(C57-B57,6)</f>
        <v>0</v>
      </c>
      <c r="E57" s="3" t="str">
        <f aca="false">IF(ISNUMBER(C57),IF(ABS(D57)&lt;IF(ABS(B57)&lt;10,0.0000005,0.005),"PASS","CHECK"),"CHECK")</f>
        <v>PASS</v>
      </c>
    </row>
    <row r="58" customFormat="false" ht="15" hidden="false" customHeight="false" outlineLevel="0" collapsed="false">
      <c r="A58" s="23" t="s">
        <v>279</v>
      </c>
      <c r="B58" s="16" t="n">
        <v>0.0345238095238095</v>
      </c>
      <c r="C58" s="16" t="n">
        <f aca="false">Leverage!B39</f>
        <v>0.0345238095238095</v>
      </c>
      <c r="D58" s="16" t="n">
        <f aca="false">ROUND(C58-B58,6)</f>
        <v>0</v>
      </c>
      <c r="E58" s="3" t="str">
        <f aca="false">IF(ISNUMBER(C58),IF(ABS(D58)&lt;IF(ABS(B58)&lt;10,0.0000005,0.005),"PASS","CHECK"),"CHECK")</f>
        <v>PASS</v>
      </c>
    </row>
    <row r="59" customFormat="false" ht="15" hidden="false" customHeight="false" outlineLevel="0" collapsed="false">
      <c r="A59" s="23" t="s">
        <v>280</v>
      </c>
      <c r="B59" s="14" t="n">
        <v>619056224.446001</v>
      </c>
      <c r="C59" s="14" t="n">
        <f aca="false">Leverage!B43</f>
        <v>619056224.446001</v>
      </c>
      <c r="D59" s="14" t="n">
        <f aca="false">ROUND(C59-B59,6)</f>
        <v>0</v>
      </c>
      <c r="E59" s="3" t="str">
        <f aca="false">IF(ISNUMBER(C59),IF(ABS(D59)&lt;IF(ABS(B59)&lt;10,0.0000005,0.005),"PASS","CHECK"),"CHECK")</f>
        <v>PASS</v>
      </c>
    </row>
    <row r="60" customFormat="false" ht="15" hidden="false" customHeight="false" outlineLevel="0" collapsed="false">
      <c r="A60" s="23" t="s">
        <v>281</v>
      </c>
      <c r="B60" s="14" t="n">
        <v>16722787.5387992</v>
      </c>
      <c r="C60" s="14" t="n">
        <f aca="false">Leverage!B44</f>
        <v>16722787.5387992</v>
      </c>
      <c r="D60" s="14" t="n">
        <f aca="false">ROUND(C60-B60,6)</f>
        <v>0</v>
      </c>
      <c r="E60" s="3" t="str">
        <f aca="false">IF(ISNUMBER(C60),IF(ABS(D60)&lt;IF(ABS(B60)&lt;10,0.0000005,0.005),"PASS","CHECK"),"CHECK")</f>
        <v>PASS</v>
      </c>
    </row>
    <row r="61" customFormat="false" ht="15" hidden="false" customHeight="false" outlineLevel="0" collapsed="false">
      <c r="A61" s="23" t="s">
        <v>282</v>
      </c>
      <c r="B61" s="14" t="n">
        <v>666499768.111097</v>
      </c>
      <c r="C61" s="14" t="n">
        <f aca="false">Leverage!B45</f>
        <v>666499768.111097</v>
      </c>
      <c r="D61" s="14" t="n">
        <f aca="false">ROUND(C61-B61,6)</f>
        <v>0</v>
      </c>
      <c r="E61" s="3" t="str">
        <f aca="false">IF(ISNUMBER(C61),IF(ABS(D61)&lt;IF(ABS(B61)&lt;10,0.0000005,0.005),"PASS","CHECK"),"CHECK")</f>
        <v>PASS</v>
      </c>
    </row>
    <row r="62" customFormat="false" ht="15" hidden="false" customHeight="false" outlineLevel="0" collapsed="false">
      <c r="A62" s="23" t="s">
        <v>283</v>
      </c>
      <c r="B62" s="14" t="n">
        <v>47443543.665096</v>
      </c>
      <c r="C62" s="14" t="n">
        <f aca="false">Leverage!B46</f>
        <v>47443543.665096</v>
      </c>
      <c r="D62" s="14" t="n">
        <f aca="false">ROUND(C62-B62,6)</f>
        <v>0</v>
      </c>
      <c r="E62" s="3" t="str">
        <f aca="false">IF(ISNUMBER(C62),IF(ABS(D62)&lt;IF(ABS(B62)&lt;10,0.0000005,0.005),"PASS","CHECK"),"CHECK")</f>
        <v>PASS</v>
      </c>
    </row>
    <row r="63" customFormat="false" ht="15" hidden="false" customHeight="false" outlineLevel="0" collapsed="false">
      <c r="A63" s="23" t="s">
        <v>284</v>
      </c>
      <c r="B63" s="14" t="n">
        <v>1457280</v>
      </c>
      <c r="C63" s="14" t="n">
        <f aca="false">Commission!B5</f>
        <v>1457280</v>
      </c>
      <c r="D63" s="14" t="n">
        <f aca="false">ROUND(C63-B63,6)</f>
        <v>0</v>
      </c>
      <c r="E63" s="3" t="str">
        <f aca="false">IF(ISNUMBER(C63),IF(ABS(D63)&lt;IF(ABS(B63)&lt;10,0.0000005,0.005),"PASS","CHECK"),"CHECK")</f>
        <v>PASS</v>
      </c>
    </row>
    <row r="64" customFormat="false" ht="15" hidden="false" customHeight="false" outlineLevel="0" collapsed="false">
      <c r="A64" s="23" t="s">
        <v>285</v>
      </c>
      <c r="B64" s="14" t="n">
        <v>353280</v>
      </c>
      <c r="C64" s="14" t="n">
        <f aca="false">Commission!B8</f>
        <v>353280</v>
      </c>
      <c r="D64" s="14" t="n">
        <f aca="false">ROUND(C64-B64,6)</f>
        <v>0</v>
      </c>
      <c r="E64" s="3" t="str">
        <f aca="false">IF(ISNUMBER(C64),IF(ABS(D64)&lt;IF(ABS(B64)&lt;10,0.0000005,0.005),"PASS","CHECK"),"CHECK")</f>
        <v>PASS</v>
      </c>
    </row>
    <row r="65" customFormat="false" ht="15" hidden="false" customHeight="false" outlineLevel="0" collapsed="false">
      <c r="A65" s="23" t="s">
        <v>286</v>
      </c>
      <c r="B65" s="16" t="n">
        <v>0.15280276816609</v>
      </c>
      <c r="C65" s="16" t="n">
        <f aca="false">Commission!B9</f>
        <v>0.15280276816609</v>
      </c>
      <c r="D65" s="16" t="n">
        <f aca="false">ROUND(C65-B65,6)</f>
        <v>0</v>
      </c>
      <c r="E65" s="3" t="str">
        <f aca="false">IF(ISNUMBER(C65),IF(ABS(D65)&lt;IF(ABS(B65)&lt;10,0.0000005,0.005),"PASS","CHECK"),"CHECK")</f>
        <v>PASS</v>
      </c>
    </row>
    <row r="66" customFormat="false" ht="15" hidden="false" customHeight="false" outlineLevel="0" collapsed="false">
      <c r="A66" s="23" t="s">
        <v>287</v>
      </c>
      <c r="B66" s="21" t="n">
        <v>83.3333333333333</v>
      </c>
      <c r="C66" s="21" t="n">
        <f aca="false">Commission!B17</f>
        <v>83.3333333333333</v>
      </c>
      <c r="D66" s="21" t="n">
        <f aca="false">ROUND(C66-B66,6)</f>
        <v>0</v>
      </c>
      <c r="E66" s="3" t="str">
        <f aca="false">IF(ISNUMBER(C66),IF(ABS(D66)&lt;IF(ABS(B66)&lt;10,0.0000005,0.005),"PASS","CHECK"),"CHECK")</f>
        <v>PASS</v>
      </c>
    </row>
    <row r="67" customFormat="false" ht="15" hidden="false" customHeight="false" outlineLevel="0" collapsed="false">
      <c r="A67" s="23" t="s">
        <v>288</v>
      </c>
      <c r="B67" s="16" t="n">
        <v>0.0375</v>
      </c>
      <c r="C67" s="16" t="n">
        <f aca="false">Commission!B20</f>
        <v>0.0375</v>
      </c>
      <c r="D67" s="16" t="n">
        <f aca="false">ROUND(C67-B67,6)</f>
        <v>0</v>
      </c>
      <c r="E67" s="3" t="str">
        <f aca="false">IF(ISNUMBER(C67),IF(ABS(D67)&lt;IF(ABS(B67)&lt;10,0.0000005,0.005),"PASS","CHECK"),"CHECK")</f>
        <v>PASS</v>
      </c>
    </row>
    <row r="68" customFormat="false" ht="15" hidden="false" customHeight="false" outlineLevel="0" collapsed="false">
      <c r="A68" s="23" t="s">
        <v>289</v>
      </c>
      <c r="B68" s="14" t="n">
        <v>140760</v>
      </c>
      <c r="C68" s="14" t="n">
        <f aca="false">Commission!B22</f>
        <v>140760</v>
      </c>
      <c r="D68" s="14" t="n">
        <f aca="false">ROUND(C68-B68,6)</f>
        <v>0</v>
      </c>
      <c r="E68" s="3" t="str">
        <f aca="false">IF(ISNUMBER(C68),IF(ABS(D68)&lt;IF(ABS(B68)&lt;10,0.0000005,0.005),"PASS","CHECK"),"CHECK")</f>
        <v>PASS</v>
      </c>
    </row>
    <row r="69" customFormat="false" ht="15" hidden="false" customHeight="false" outlineLevel="0" collapsed="false">
      <c r="A69" s="23" t="s">
        <v>290</v>
      </c>
      <c r="B69" s="14" t="n">
        <v>140760</v>
      </c>
      <c r="C69" s="14" t="n">
        <f aca="false">Commission!B24</f>
        <v>140760</v>
      </c>
      <c r="D69" s="14" t="n">
        <f aca="false">ROUND(C69-B69,6)</f>
        <v>0</v>
      </c>
      <c r="E69" s="3" t="str">
        <f aca="false">IF(ISNUMBER(C69),IF(ABS(D69)&lt;IF(ABS(B69)&lt;10,0.0000005,0.005),"PASS","CHECK"),"CHECK")</f>
        <v>PASS</v>
      </c>
    </row>
    <row r="70" customFormat="false" ht="15" hidden="false" customHeight="false" outlineLevel="0" collapsed="false">
      <c r="A70" s="23" t="s">
        <v>291</v>
      </c>
      <c r="B70" s="21" t="n">
        <v>26.6666666666667</v>
      </c>
      <c r="C70" s="21" t="n">
        <f aca="false">Commission!B26</f>
        <v>26.6666666666667</v>
      </c>
      <c r="D70" s="21" t="n">
        <f aca="false">ROUND(C70-B70,6)</f>
        <v>0</v>
      </c>
      <c r="E70" s="3" t="str">
        <f aca="false">IF(ISNUMBER(C70),IF(ABS(D70)&lt;IF(ABS(B70)&lt;10,0.0000005,0.005),"PASS","CHECK"),"CHECK")</f>
        <v>PASS</v>
      </c>
    </row>
    <row r="71" customFormat="false" ht="15" hidden="false" customHeight="false" outlineLevel="0" collapsed="false">
      <c r="A71" s="23" t="s">
        <v>292</v>
      </c>
      <c r="B71" s="14" t="n">
        <v>32374.7999999999</v>
      </c>
      <c r="C71" s="14" t="n">
        <f aca="false">Commission!B27</f>
        <v>32374.8</v>
      </c>
      <c r="D71" s="14" t="n">
        <f aca="false">ROUND(C71-B71,6)</f>
        <v>0</v>
      </c>
      <c r="E71" s="3" t="str">
        <f aca="false">IF(ISNUMBER(C71),IF(ABS(D71)&lt;IF(ABS(B71)&lt;10,0.0000005,0.005),"PASS","CHECK"),"CHECK")</f>
        <v>PASS</v>
      </c>
    </row>
    <row r="72" customFormat="false" ht="15" hidden="false" customHeight="false" outlineLevel="0" collapsed="false">
      <c r="A72" s="23" t="s">
        <v>293</v>
      </c>
      <c r="B72" s="14" t="n">
        <v>85048.3333333333</v>
      </c>
      <c r="C72" s="14" t="n">
        <f aca="false">Commission!B40</f>
        <v>85048.3333333333</v>
      </c>
      <c r="D72" s="14" t="n">
        <f aca="false">ROUND(C72-B72,6)</f>
        <v>0</v>
      </c>
      <c r="E72" s="3" t="str">
        <f aca="false">IF(ISNUMBER(C72),IF(ABS(D72)&lt;IF(ABS(B72)&lt;10,0.0000005,0.005),"PASS","CHECK"),"CHECK")</f>
        <v>PASS</v>
      </c>
    </row>
    <row r="73" customFormat="false" ht="15" hidden="false" customHeight="false" outlineLevel="0" collapsed="false">
      <c r="A73" s="23" t="s">
        <v>294</v>
      </c>
      <c r="B73" s="14" t="n">
        <v>5104.16666666667</v>
      </c>
      <c r="C73" s="14" t="n">
        <f aca="false">Commission!B43</f>
        <v>5104.16666666667</v>
      </c>
      <c r="D73" s="14" t="n">
        <f aca="false">ROUND(C73-B73,6)</f>
        <v>0</v>
      </c>
      <c r="E73" s="3" t="str">
        <f aca="false">IF(ISNUMBER(C73),IF(ABS(D73)&lt;IF(ABS(B73)&lt;10,0.0000005,0.005),"PASS","CHECK"),"CHECK")</f>
        <v>PASS</v>
      </c>
    </row>
    <row r="74" customFormat="false" ht="15" hidden="false" customHeight="false" outlineLevel="0" collapsed="false">
      <c r="A74" s="23" t="s">
        <v>295</v>
      </c>
      <c r="B74" s="21" t="n">
        <v>6.36</v>
      </c>
      <c r="C74" s="21" t="n">
        <f aca="false">Commission!B47</f>
        <v>6.36</v>
      </c>
      <c r="D74" s="21" t="n">
        <f aca="false">ROUND(C74-B74,6)</f>
        <v>0</v>
      </c>
      <c r="E74" s="3" t="str">
        <f aca="false">IF(ISNUMBER(C74),IF(ABS(D74)&lt;IF(ABS(B74)&lt;10,0.0000005,0.005),"PASS","CHECK"),"CHECK")</f>
        <v>PASS</v>
      </c>
    </row>
    <row r="75" customFormat="false" ht="15" hidden="false" customHeight="false" outlineLevel="0" collapsed="false">
      <c r="A75" s="23" t="s">
        <v>296</v>
      </c>
      <c r="B75" s="14" t="n">
        <v>30666.6666666667</v>
      </c>
      <c r="C75" s="14" t="n">
        <f aca="false">Commission!B48</f>
        <v>30666.6666666667</v>
      </c>
      <c r="D75" s="14" t="n">
        <f aca="false">ROUND(C75-B75,6)</f>
        <v>0</v>
      </c>
      <c r="E75" s="3" t="str">
        <f aca="false">IF(ISNUMBER(C75),IF(ABS(D75)&lt;IF(ABS(B75)&lt;10,0.0000005,0.005),"PASS","CHECK"),"CHECK")</f>
        <v>PASS</v>
      </c>
    </row>
    <row r="76" customFormat="false" ht="15" hidden="false" customHeight="false" outlineLevel="0" collapsed="false">
      <c r="A76" s="23" t="s">
        <v>297</v>
      </c>
      <c r="B76" s="14" t="n">
        <v>667520</v>
      </c>
      <c r="C76" s="14" t="n">
        <f aca="false">Commission!B10</f>
        <v>667520</v>
      </c>
      <c r="D76" s="14" t="n">
        <f aca="false">ROUND(C76-B76,6)</f>
        <v>0</v>
      </c>
      <c r="E76" s="3" t="str">
        <f aca="false">IF(ISNUMBER(C76),IF(ABS(D76)&lt;IF(ABS(B76)&lt;10,0.0000005,0.005),"PASS","CHECK"),"CHECK")</f>
        <v>PASS</v>
      </c>
    </row>
    <row r="77" customFormat="false" ht="15" hidden="false" customHeight="false" outlineLevel="0" collapsed="false">
      <c r="A77" s="23" t="s">
        <v>298</v>
      </c>
      <c r="B77" s="14" t="n">
        <v>1445714.28571429</v>
      </c>
      <c r="C77" s="14" t="n">
        <f aca="false">Commission!C30</f>
        <v>1445714.28571429</v>
      </c>
      <c r="D77" s="14" t="n">
        <f aca="false">ROUND(C77-B77,6)</f>
        <v>0</v>
      </c>
      <c r="E77" s="3" t="str">
        <f aca="false">IF(ISNUMBER(C77),IF(ABS(D77)&lt;IF(ABS(B77)&lt;10,0.0000005,0.005),"PASS","CHECK"),"CHECK")</f>
        <v>PASS</v>
      </c>
    </row>
    <row r="78" customFormat="false" ht="15" hidden="false" customHeight="false" outlineLevel="0" collapsed="false">
      <c r="A78" s="23" t="s">
        <v>299</v>
      </c>
      <c r="B78" s="22" t="n">
        <v>16.4285714285714</v>
      </c>
      <c r="C78" s="22" t="n">
        <f aca="false">Commission!C31</f>
        <v>16.4285714285714</v>
      </c>
      <c r="D78" s="22" t="n">
        <f aca="false">ROUND(C78-B78,6)</f>
        <v>0</v>
      </c>
      <c r="E78" s="3" t="str">
        <f aca="false">IF(ISNUMBER(C78),IF(ABS(D78)&lt;IF(ABS(B78)&lt;10,0.0000005,0.005),"PASS","CHECK"),"CHECK")</f>
        <v>PASS</v>
      </c>
    </row>
    <row r="79" customFormat="false" ht="15" hidden="false" customHeight="false" outlineLevel="0" collapsed="false">
      <c r="A79" s="23" t="s">
        <v>300</v>
      </c>
      <c r="B79" s="14" t="n">
        <v>131428.571428571</v>
      </c>
      <c r="C79" s="14" t="n">
        <f aca="false">Commission!B33</f>
        <v>131428.571428571</v>
      </c>
      <c r="D79" s="14" t="n">
        <f aca="false">ROUND(C79-B79,6)</f>
        <v>0</v>
      </c>
      <c r="E79" s="3" t="str">
        <f aca="false">IF(ISNUMBER(C79),IF(ABS(D79)&lt;IF(ABS(B79)&lt;10,0.0000005,0.005),"PASS","CHECK"),"CHECK")</f>
        <v>PASS</v>
      </c>
    </row>
    <row r="80" customFormat="false" ht="15" hidden="false" customHeight="false" outlineLevel="0" collapsed="false">
      <c r="A80" s="23" t="s">
        <v>301</v>
      </c>
      <c r="B80" s="14" t="n">
        <v>131428.58</v>
      </c>
      <c r="C80" s="14" t="n">
        <f aca="false">Commission!B34</f>
        <v>131428.58</v>
      </c>
      <c r="D80" s="14" t="n">
        <f aca="false">ROUND(C80-B80,6)</f>
        <v>0</v>
      </c>
      <c r="E80" s="3" t="str">
        <f aca="false">IF(ISNUMBER(C80),IF(ABS(D80)&lt;IF(ABS(B80)&lt;10,0.0000005,0.005),"PASS","CHECK"),"CHECK")</f>
        <v>PASS</v>
      </c>
    </row>
    <row r="81" customFormat="false" ht="15" hidden="false" customHeight="false" outlineLevel="0" collapsed="false">
      <c r="A81" s="23" t="s">
        <v>302</v>
      </c>
      <c r="B81" s="14" t="n">
        <v>220799.88</v>
      </c>
      <c r="C81" s="14" t="n">
        <f aca="false">Commission!B36</f>
        <v>220799.88</v>
      </c>
      <c r="D81" s="14" t="n">
        <f aca="false">ROUND(C81-B81,6)</f>
        <v>0</v>
      </c>
      <c r="E81" s="3" t="str">
        <f aca="false">IF(ISNUMBER(C81),IF(ABS(D81)&lt;IF(ABS(B81)&lt;10,0.0000005,0.005),"PASS","CHECK"),"CHECK")</f>
        <v>PASS</v>
      </c>
    </row>
    <row r="83" customFormat="false" ht="15" hidden="false" customHeight="false" outlineLevel="0" collapsed="false">
      <c r="A83" s="3" t="s">
        <v>303</v>
      </c>
      <c r="D83" s="3" t="str">
        <f aca="false">COUNTIF(E5:E81,"PASS")&amp;" / 77"</f>
        <v>77 / 77</v>
      </c>
      <c r="E83" s="3" t="str">
        <f aca="false">IF(COUNTIF(E5:E81,"PASS")=77,"ALL PASS","SEE ABOVE")</f>
        <v>ALL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2026-09-08T23:01:43Z</dcterms:created>
  <dc:creator>openpyxl</dc:creator>
  <dc:description/>
  <dc:language>en-US</dc:language>
  <cp:lastModifiedBy/>
  <dcterms:modified xsi:type="dcterms:W3CDTF">2026-09-24T01:50:44Z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