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Allocation" sheetId="2" state="visible" r:id="rId4"/>
    <sheet name="Drivers" sheetId="3" state="visible" r:id="rId5"/>
    <sheet name="Closure" sheetId="4" state="visible" r:id="rId6"/>
    <sheet name="Discount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<sst xmlns="http://schemas.openxmlformats.org/spreadsheetml/2006/main" count="210" uniqueCount="198">
  <si>
    <t xml:space="preserve">Segment Contribution and Allocation - Inputs</t>
  </si>
  <si>
    <t xml:space="preserve">Blue cells are inputs. The yellow cells are the two choices the whole answer turns on.</t>
  </si>
  <si>
    <t xml:space="preserve">Segment</t>
  </si>
  <si>
    <t xml:space="preserve">Budget revenue</t>
  </si>
  <si>
    <t xml:space="preserve">Gross margin</t>
  </si>
  <si>
    <t xml:space="preserve">Sales and marketing</t>
  </si>
  <si>
    <t xml:space="preserve">Research and development</t>
  </si>
  <si>
    <t xml:space="preserve">General and administrative</t>
  </si>
  <si>
    <t xml:space="preserve">Instruments</t>
  </si>
  <si>
    <t xml:space="preserve">Consumables</t>
  </si>
  <si>
    <t xml:space="preserve">Service</t>
  </si>
  <si>
    <t xml:space="preserve">Corporate cost pool</t>
  </si>
  <si>
    <t xml:space="preserve">Not caused by any one segment.</t>
  </si>
  <si>
    <t xml:space="preserve">Of which avoidable within a year if a segment closes</t>
  </si>
  <si>
    <t xml:space="preserve">A management estimate, and the book says so.</t>
  </si>
  <si>
    <t xml:space="preserve">Installed base attrition, a year</t>
  </si>
  <si>
    <t xml:space="preserve">With no new instruments the base decays at this rate.</t>
  </si>
  <si>
    <t xml:space="preserve">Instrument discount given, third quarter</t>
  </si>
  <si>
    <t xml:space="preserve">Extra units the discount came with</t>
  </si>
  <si>
    <t xml:space="preserve">Installed base</t>
  </si>
  <si>
    <t xml:space="preserve">New instruments placed, budget year</t>
  </si>
  <si>
    <t xml:space="preserve">Instrument representatives</t>
  </si>
  <si>
    <t xml:space="preserve">Instruments sold in the third quarter</t>
  </si>
  <si>
    <t xml:space="preserve">Instrument budget price</t>
  </si>
  <si>
    <t xml:space="preserve">The same corporate pool, two defensible bases</t>
  </si>
  <si>
    <t xml:space="preserve">No cash moves between these two columns.</t>
  </si>
  <si>
    <t xml:space="preserve">Gross profit</t>
  </si>
  <si>
    <t xml:space="preserve">Direct cost</t>
  </si>
  <si>
    <t xml:space="preserve">Contribution</t>
  </si>
  <si>
    <t xml:space="preserve">Share of revenue</t>
  </si>
  <si>
    <t xml:space="preserve">Allocation on revenue</t>
  </si>
  <si>
    <t xml:space="preserve">EBIT on revenue</t>
  </si>
  <si>
    <t xml:space="preserve">Share of gross profit</t>
  </si>
  <si>
    <t xml:space="preserve">Allocation on gross profit</t>
  </si>
  <si>
    <t xml:space="preserve">EBIT on gross profit</t>
  </si>
  <si>
    <t xml:space="preserve">Total</t>
  </si>
  <si>
    <t xml:space="preserve">Group EBIT (contribution less the pool)</t>
  </si>
  <si>
    <t xml:space="preserve">Instruments profit created by the choice of denominator</t>
  </si>
  <si>
    <t xml:space="preserve">Contribution on its own revenue: instruments</t>
  </si>
  <si>
    <t xml:space="preserve">Contribution on its own revenue: consumables</t>
  </si>
  <si>
    <t xml:space="preserve">Contribution on its own revenue: service</t>
  </si>
  <si>
    <t xml:space="preserve">Group gross margin</t>
  </si>
  <si>
    <t xml:space="preserve">Group EBIT margin</t>
  </si>
  <si>
    <t xml:space="preserve">One point of instrument gross margin</t>
  </si>
  <si>
    <t xml:space="preserve">Chapter 13: the two tests</t>
  </si>
  <si>
    <t xml:space="preserve">Revenue-base charge that would stay if instruments closed</t>
  </si>
  <si>
    <t xml:space="preserve">Avoidable share of the pool</t>
  </si>
  <si>
    <t xml:space="preserve">Contribution instruments would need to carry its revenue-base charge</t>
  </si>
  <si>
    <t xml:space="preserve">  extra revenue that needs, at its margin</t>
  </si>
  <si>
    <t xml:space="preserve">  as a share of its budget revenue</t>
  </si>
  <si>
    <t xml:space="preserve">The three differences between the bases, added</t>
  </si>
  <si>
    <t xml:space="preserve">The driver tree (Chapters 3 and 9)</t>
  </si>
  <si>
    <t xml:space="preserve">Consumables and service are a stock multiplied by a rate. The stock is the installed base.</t>
  </si>
  <si>
    <t xml:space="preserve">Installed base, start of year</t>
  </si>
  <si>
    <t xml:space="preserve">Attrition rate</t>
  </si>
  <si>
    <t xml:space="preserve">Instruments retired in the year</t>
  </si>
  <si>
    <t xml:space="preserve">New instruments sold, budget</t>
  </si>
  <si>
    <t xml:space="preserve">Net addition</t>
  </si>
  <si>
    <t xml:space="preserve">Installed base, end of year</t>
  </si>
  <si>
    <t xml:space="preserve">Consumables revenue per installed instrument</t>
  </si>
  <si>
    <t xml:space="preserve">Service revenue per installed instrument</t>
  </si>
  <si>
    <t xml:space="preserve">Consumables rate rounded to two decimals, multiplied back</t>
  </si>
  <si>
    <t xml:space="preserve">Service rate rounded to two decimals, multiplied back</t>
  </si>
  <si>
    <t xml:space="preserve">Share of placements that only replace retirements</t>
  </si>
  <si>
    <t xml:space="preserve">A ten per cent move in the base</t>
  </si>
  <si>
    <t xml:space="preserve">Consumables revenue</t>
  </si>
  <si>
    <t xml:space="preserve">  gross profit</t>
  </si>
  <si>
    <t xml:space="preserve">Service revenue</t>
  </si>
  <si>
    <t xml:space="preserve">Gross profit together</t>
  </si>
  <si>
    <t xml:space="preserve">  as a share of budget EBIT</t>
  </si>
  <si>
    <t xml:space="preserve">Revenue on ten per cent of the base (Chapter 3)</t>
  </si>
  <si>
    <t xml:space="preserve">The sales side</t>
  </si>
  <si>
    <t xml:space="preserve">Annual quota per representative</t>
  </si>
  <si>
    <t xml:space="preserve">Annual gross profit per representative</t>
  </si>
  <si>
    <t xml:space="preserve">  the same from the rounded quota</t>
  </si>
  <si>
    <t xml:space="preserve">The rows hold the rates constant while the stock moves: a sensitivity, not a prediction.</t>
  </si>
  <si>
    <t xml:space="preserve">What happens if instruments is closed</t>
  </si>
  <si>
    <t xml:space="preserve">The contribution leaves, most of the corporate cost does not, and the base decays.</t>
  </si>
  <si>
    <t xml:space="preserve">Contribution lost</t>
  </si>
  <si>
    <t xml:space="preserve">Corporate cost genuinely avoided</t>
  </si>
  <si>
    <t xml:space="preserve">Corporate cost that does not disappear</t>
  </si>
  <si>
    <t xml:space="preserve">Year</t>
  </si>
  <si>
    <t xml:space="preserve">Base remaining</t>
  </si>
  <si>
    <t xml:space="preserve">Gross profit lost against budget</t>
  </si>
  <si>
    <t xml:space="preserve">Change in group EBIT</t>
  </si>
  <si>
    <t xml:space="preserve">Year one, and what it would take</t>
  </si>
  <si>
    <t xml:space="preserve">Avoidable corporate cost at which closure is EBIT-neutral in year one</t>
  </si>
  <si>
    <t xml:space="preserve">  as a share of the pool</t>
  </si>
  <si>
    <t xml:space="preserve">Reported loss as a share of group EBIT</t>
  </si>
  <si>
    <t xml:space="preserve">The third-quarter discount against the segment's full-year contribution</t>
  </si>
  <si>
    <t xml:space="preserve">The pool that stays, re-spread on budget revenue</t>
  </si>
  <si>
    <t xml:space="preserve">Consumables would carry</t>
  </si>
  <si>
    <t xml:space="preserve">  more than today, by</t>
  </si>
  <si>
    <t xml:space="preserve">Service would carry</t>
  </si>
  <si>
    <t xml:space="preserve">Year one: consumables' share of the decayed revenue</t>
  </si>
  <si>
    <t xml:space="preserve">The discount, judged over the life of what it placed</t>
  </si>
  <si>
    <t xml:space="preserve">The downstream contribution is produced by the installed base, not by the year's placements.</t>
  </si>
  <si>
    <t xml:space="preserve">Consumables and service contribution, a year</t>
  </si>
  <si>
    <t xml:space="preserve">Downstream contribution per installed instrument, a year</t>
  </si>
  <si>
    <t xml:space="preserve">Downstream contribution a year, those units</t>
  </si>
  <si>
    <t xml:space="preserve">Discount given</t>
  </si>
  <si>
    <t xml:space="preserve">Year one, net</t>
  </si>
  <si>
    <t xml:space="preserve">Years to repay</t>
  </si>
  <si>
    <t xml:space="preserve">Implied life of an instrument, years</t>
  </si>
  <si>
    <t xml:space="preserve">Undiscounted over the implied life</t>
  </si>
  <si>
    <t xml:space="preserve">Multiple of the discount</t>
  </si>
  <si>
    <t xml:space="preserve">Share of the lifetime stream the discount needs</t>
  </si>
  <si>
    <t xml:space="preserve">Competitive leakage it tolerates before the sign turns</t>
  </si>
  <si>
    <t xml:space="preserve">Discount rate (change this)</t>
  </si>
  <si>
    <t xml:space="preserve">Present value of the placements at that rate</t>
  </si>
  <si>
    <t xml:space="preserve">Multiple of the discount at that rate</t>
  </si>
  <si>
    <t xml:space="preserve">Discount rate at which the placements exactly repay the discount</t>
  </si>
  <si>
    <t xml:space="preserve">Check: present value at that rate equals the discount</t>
  </si>
  <si>
    <t xml:space="preserve">More from Chapter 14</t>
  </si>
  <si>
    <t xml:space="preserve">Dividing by the year's placements instead of the base</t>
  </si>
  <si>
    <t xml:space="preserve">  overstatement</t>
  </si>
  <si>
    <t xml:space="preserve">Marginal reading: downstream gross profit per installed instrument</t>
  </si>
  <si>
    <t xml:space="preserve">Downstream direct operating expense</t>
  </si>
  <si>
    <t xml:space="preserve">Instruments' own contribution per unit placed</t>
  </si>
  <si>
    <t xml:space="preserve">Discount per unit sold</t>
  </si>
  <si>
    <t xml:space="preserve">  as a share of a year of downstream contribution</t>
  </si>
  <si>
    <t xml:space="preserve">Discount surrendered per additional unit</t>
  </si>
  <si>
    <t xml:space="preserve">Marginal: downstream a year, those units</t>
  </si>
  <si>
    <t xml:space="preserve">Marginal: year one, net</t>
  </si>
  <si>
    <t xml:space="preserve">Marginal: years to repay</t>
  </si>
  <si>
    <t xml:space="preserve">Units' worth of the 180 consumed in repaying</t>
  </si>
  <si>
    <t xml:space="preserve">The same test, counting the extra units' own sale (not in the book: see Case 1)</t>
  </si>
  <si>
    <t xml:space="preserve">Own contribution of the extra units, conservative</t>
  </si>
  <si>
    <t xml:space="preserve">Year one, conservative, counted whole</t>
  </si>
  <si>
    <t xml:space="preserve">Own gross profit of the extra units at the budget price</t>
  </si>
  <si>
    <t xml:space="preserve">Year one, marginal, counted whole</t>
  </si>
  <si>
    <t xml:space="preserve">Years to repay, conservative, counted whole</t>
  </si>
  <si>
    <t xml:space="preserve">If the 180 retire at the base's rate: present value at the rate in row 18</t>
  </si>
  <si>
    <t xml:space="preserve">Rate at which that retiring cohort stops repaying, counted whole</t>
  </si>
  <si>
    <t xml:space="preserve">Rows 4 to 23 are the book's test as printed. Rows 40 to 46 credit the 180 units with their own sale, as Chapter 4's bridge does, and retire them at the 8 per cent the base retires at. The conservative verdict holds; the marginal one does not.</t>
  </si>
  <si>
    <t xml:space="preserve">Checks</t>
  </si>
  <si>
    <t xml:space="preserve">The figure printed in the book, beside the figure this workbook computes. Every difference must be zero: a money amount to half a cent, a ratio to the sixth decimal.</t>
  </si>
  <si>
    <t xml:space="preserve">What the book prints</t>
  </si>
  <si>
    <t xml:space="preserve">Printed</t>
  </si>
  <si>
    <t xml:space="preserve">Computed here</t>
  </si>
  <si>
    <t xml:space="preserve">Difference</t>
  </si>
  <si>
    <t xml:space="preserve">Status</t>
  </si>
  <si>
    <t xml:space="preserve">Instruments contribution</t>
  </si>
  <si>
    <t xml:space="preserve">Consumables contribution</t>
  </si>
  <si>
    <t xml:space="preserve">Service contribution</t>
  </si>
  <si>
    <t xml:space="preserve">Group EBIT</t>
  </si>
  <si>
    <t xml:space="preserve">Instruments EBIT, allocation on revenue</t>
  </si>
  <si>
    <t xml:space="preserve">Instruments EBIT, allocation on gross profit</t>
  </si>
  <si>
    <t xml:space="preserve">Profit created by the choice of denominator</t>
  </si>
  <si>
    <t xml:space="preserve">Consumables allocation on gross profit</t>
  </si>
  <si>
    <t xml:space="preserve">Service EBIT on gross profit</t>
  </si>
  <si>
    <t xml:space="preserve">Chapter 13: instruments contribution on its revenue</t>
  </si>
  <si>
    <t xml:space="preserve">Chapter 13: consumables</t>
  </si>
  <si>
    <t xml:space="preserve">Chapter 13: service</t>
  </si>
  <si>
    <t xml:space="preserve">Chapter 13: charge that stays if instruments closes</t>
  </si>
  <si>
    <t xml:space="preserve">Chapter 13: avoidable share of the pool</t>
  </si>
  <si>
    <t xml:space="preserve">Chapter 13: extra revenue to carry the charge, per cent</t>
  </si>
  <si>
    <t xml:space="preserve">Chapter 13: one point of instrument margin</t>
  </si>
  <si>
    <t xml:space="preserve">Year one gross profit lost if instruments closes</t>
  </si>
  <si>
    <t xml:space="preserve">Year one change in group EBIT</t>
  </si>
  <si>
    <t xml:space="preserve">Year three gross profit lost</t>
  </si>
  <si>
    <t xml:space="preserve">Year three change in group EBIT</t>
  </si>
  <si>
    <t xml:space="preserve">Year five gross profit lost</t>
  </si>
  <si>
    <t xml:space="preserve">Chapter 14: avoidable cost for a neutral year one</t>
  </si>
  <si>
    <t xml:space="preserve">Chapter 14: as a share of the pool</t>
  </si>
  <si>
    <t xml:space="preserve">Chapter 14: loss as a share of group EBIT</t>
  </si>
  <si>
    <t xml:space="preserve">Chapter 14: consumables would carry</t>
  </si>
  <si>
    <t xml:space="preserve">Chapter 14: consumables worse by</t>
  </si>
  <si>
    <t xml:space="preserve">Chapter 14: service worse by</t>
  </si>
  <si>
    <t xml:space="preserve">Chapter 14: consumables' year-one share</t>
  </si>
  <si>
    <t xml:space="preserve">Chapter 14: discount against the segment contribution</t>
  </si>
  <si>
    <t xml:space="preserve">Downstream contribution per installed instrument</t>
  </si>
  <si>
    <t xml:space="preserve">Marginal: downstream gross profit per installed instrument</t>
  </si>
  <si>
    <t xml:space="preserve">The wrong denominator overstates by</t>
  </si>
  <si>
    <t xml:space="preserve">Discount as a share of a year of downstream</t>
  </si>
  <si>
    <t xml:space="preserve">Year one net on the discount</t>
  </si>
  <si>
    <t xml:space="preserve">Marginal: year one net</t>
  </si>
  <si>
    <t xml:space="preserve">Years to repay the discount</t>
  </si>
  <si>
    <t xml:space="preserve">Units consumed in repaying</t>
  </si>
  <si>
    <t xml:space="preserve">Leakage tolerated</t>
  </si>
  <si>
    <t xml:space="preserve">Present value at 10.00 per cent</t>
  </si>
  <si>
    <t xml:space="preserve">Multiple at 10.00 per cent</t>
  </si>
  <si>
    <t xml:space="preserve">Breakeven discount rate</t>
  </si>
  <si>
    <t xml:space="preserve">Counted whole: year one, conservative (not in the book)</t>
  </si>
  <si>
    <t xml:space="preserve">Counted whole: year one, marginal (not in the book)</t>
  </si>
  <si>
    <t xml:space="preserve">Counted whole and retiring: rate at which it stops repaying (not in the book)</t>
  </si>
  <si>
    <t xml:space="preserve">Chapter 9: instruments retired</t>
  </si>
  <si>
    <t xml:space="preserve">Chapter 9: end-of-year base</t>
  </si>
  <si>
    <t xml:space="preserve">Chapter 9: consumables multiplied back</t>
  </si>
  <si>
    <t xml:space="preserve">Chapter 9: service multiplied back</t>
  </si>
  <si>
    <t xml:space="preserve">Chapter 9: placements that only replace</t>
  </si>
  <si>
    <t xml:space="preserve">Chapter 9: ten per cent of the base, gross profit</t>
  </si>
  <si>
    <t xml:space="preserve">Chapter 9: as a share of budget EBIT</t>
  </si>
  <si>
    <t xml:space="preserve">Chapter 3: revenue on ten per cent of the base</t>
  </si>
  <si>
    <t xml:space="preserve">Chapter 9: quota per representative</t>
  </si>
  <si>
    <t xml:space="preserve">Chapter 9: gross profit per representative</t>
  </si>
  <si>
    <t xml:space="preserve">Chapter 9: the same from the rounded quota</t>
  </si>
  <si>
    <t xml:space="preserve">All checks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</si>
</sst>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;[RED]\-#,##0.00"/>
    <numFmt numFmtId="166" formatCode="0.00%"/>
    <numFmt numFmtId="167" formatCode="#,##0;[RED]\-#,##0"/>
    <numFmt numFmtId="168" formatCode="0.0000%"/>
    <numFmt numFmtId="169" formatCode="0.0000\x"/>
    <numFmt numFmtId="170" formatCode="0.0000"/>
    <numFmt numFmtId="171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2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n">
        <v>441600000</v>
      </c>
      <c r="C5" s="6" t="n">
        <v>0.32</v>
      </c>
      <c r="D5" s="5" t="n">
        <v>62000000</v>
      </c>
      <c r="E5" s="5" t="n">
        <v>68000000</v>
      </c>
      <c r="F5" s="5" t="n">
        <v>9000000</v>
      </c>
    </row>
    <row r="6" customFormat="false" ht="15" hidden="false" customHeight="false" outlineLevel="0" collapsed="false">
      <c r="A6" s="4" t="s">
        <v>9</v>
      </c>
      <c r="B6" s="5" t="n">
        <v>272000000</v>
      </c>
      <c r="C6" s="6" t="n">
        <v>0.68</v>
      </c>
      <c r="D6" s="5" t="n">
        <v>24000000</v>
      </c>
      <c r="E6" s="5" t="n">
        <v>12000000</v>
      </c>
      <c r="F6" s="5" t="n">
        <v>5000000</v>
      </c>
    </row>
    <row r="7" customFormat="false" ht="15" hidden="false" customHeight="false" outlineLevel="0" collapsed="false">
      <c r="A7" s="4" t="s">
        <v>10</v>
      </c>
      <c r="B7" s="5" t="n">
        <v>126400000</v>
      </c>
      <c r="C7" s="6" t="n">
        <v>0.45</v>
      </c>
      <c r="D7" s="5" t="n">
        <v>18000000</v>
      </c>
      <c r="E7" s="5" t="n">
        <v>4000000</v>
      </c>
      <c r="F7" s="5" t="n">
        <v>12000000</v>
      </c>
    </row>
    <row r="9" customFormat="false" ht="15" hidden="false" customHeight="false" outlineLevel="0" collapsed="false">
      <c r="A9" s="4" t="s">
        <v>11</v>
      </c>
      <c r="B9" s="7" t="n">
        <v>76000000</v>
      </c>
      <c r="C9" s="2" t="s">
        <v>12</v>
      </c>
    </row>
    <row r="10" customFormat="false" ht="15" hidden="false" customHeight="false" outlineLevel="0" collapsed="false">
      <c r="A10" s="4" t="s">
        <v>13</v>
      </c>
      <c r="B10" s="7" t="n">
        <v>12000000</v>
      </c>
      <c r="C10" s="2" t="s">
        <v>14</v>
      </c>
    </row>
    <row r="11" customFormat="false" ht="15" hidden="false" customHeight="false" outlineLevel="0" collapsed="false">
      <c r="A11" s="4" t="s">
        <v>15</v>
      </c>
      <c r="B11" s="6" t="n">
        <v>0.08</v>
      </c>
      <c r="C11" s="2" t="s">
        <v>16</v>
      </c>
    </row>
    <row r="12" customFormat="false" ht="15" hidden="false" customHeight="false" outlineLevel="0" collapsed="false">
      <c r="A12" s="4" t="s">
        <v>17</v>
      </c>
      <c r="B12" s="5" t="n">
        <v>5520000</v>
      </c>
    </row>
    <row r="13" customFormat="false" ht="15" hidden="false" customHeight="false" outlineLevel="0" collapsed="false">
      <c r="A13" s="4" t="s">
        <v>18</v>
      </c>
      <c r="B13" s="8" t="n">
        <v>180</v>
      </c>
    </row>
    <row r="14" customFormat="false" ht="15" hidden="false" customHeight="false" outlineLevel="0" collapsed="false">
      <c r="A14" s="4" t="s">
        <v>19</v>
      </c>
      <c r="B14" s="8" t="n">
        <v>24000</v>
      </c>
    </row>
    <row r="15" customFormat="false" ht="15" hidden="false" customHeight="false" outlineLevel="0" collapsed="false">
      <c r="A15" s="4" t="s">
        <v>20</v>
      </c>
      <c r="B15" s="8" t="n">
        <v>4800</v>
      </c>
    </row>
    <row r="16" customFormat="false" ht="15" hidden="false" customHeight="false" outlineLevel="0" collapsed="false">
      <c r="A16" s="4" t="s">
        <v>21</v>
      </c>
      <c r="B16" s="8" t="n">
        <v>84</v>
      </c>
    </row>
    <row r="17" customFormat="false" ht="15" hidden="false" customHeight="false" outlineLevel="0" collapsed="false">
      <c r="A17" s="4" t="s">
        <v>22</v>
      </c>
      <c r="B17" s="8" t="n">
        <v>1380</v>
      </c>
    </row>
    <row r="18" customFormat="false" ht="15" hidden="false" customHeight="false" outlineLevel="0" collapsed="false">
      <c r="A18" s="4" t="s">
        <v>23</v>
      </c>
      <c r="B18" s="8" t="n">
        <v>92000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9"/>
    <col collapsed="false" customWidth="true" hidden="false" outlineLevel="0" max="7" min="7" style="0" width="17"/>
    <col collapsed="false" customWidth="true" hidden="false" outlineLevel="0" max="8" min="8" style="0" width="18"/>
    <col collapsed="false" customWidth="true" hidden="false" outlineLevel="0" max="9" min="9" style="0" width="22"/>
    <col collapsed="false" customWidth="true" hidden="false" outlineLevel="0" max="10" min="10" style="0" width="20"/>
  </cols>
  <sheetData>
    <row r="1" customFormat="false" ht="16.1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15" hidden="false" customHeight="false" outlineLevel="0" collapsed="false">
      <c r="A4" s="3" t="s">
        <v>2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</row>
    <row r="5" customFormat="false" ht="15" hidden="false" customHeight="false" outlineLevel="0" collapsed="false">
      <c r="A5" s="4" t="str">
        <f aca="false">Inputs!A5</f>
        <v>Instruments</v>
      </c>
      <c r="B5" s="9" t="n">
        <f aca="false">Inputs!B5*Inputs!C5</f>
        <v>141312000</v>
      </c>
      <c r="C5" s="9" t="n">
        <f aca="false">Inputs!D5+Inputs!E5+Inputs!F5</f>
        <v>139000000</v>
      </c>
      <c r="D5" s="9" t="n">
        <f aca="false">B5-C5</f>
        <v>2312000</v>
      </c>
      <c r="E5" s="10" t="n">
        <f aca="false">Inputs!B5/SUM(Inputs!$B$5:$B$7)</f>
        <v>0.525714285714286</v>
      </c>
      <c r="F5" s="9" t="n">
        <f aca="false">E5*Inputs!$B$9</f>
        <v>39954285.7142857</v>
      </c>
      <c r="G5" s="9" t="n">
        <f aca="false">D5-F5</f>
        <v>-37642285.7142857</v>
      </c>
      <c r="H5" s="10" t="n">
        <f aca="false">B5/SUM($B$5:$B$7)</f>
        <v>0.368814465277488</v>
      </c>
      <c r="I5" s="9" t="n">
        <f aca="false">H5*Inputs!$B$9</f>
        <v>28029899.3610891</v>
      </c>
      <c r="J5" s="9" t="n">
        <f aca="false">D5-I5</f>
        <v>-25717899.3610891</v>
      </c>
    </row>
    <row r="6" customFormat="false" ht="15" hidden="false" customHeight="false" outlineLevel="0" collapsed="false">
      <c r="A6" s="4" t="str">
        <f aca="false">Inputs!A6</f>
        <v>Consumables</v>
      </c>
      <c r="B6" s="9" t="n">
        <f aca="false">Inputs!B6*Inputs!C6</f>
        <v>184960000</v>
      </c>
      <c r="C6" s="9" t="n">
        <f aca="false">Inputs!D6+Inputs!E6+Inputs!F6</f>
        <v>41000000</v>
      </c>
      <c r="D6" s="9" t="n">
        <f aca="false">B6-C6</f>
        <v>143960000</v>
      </c>
      <c r="E6" s="10" t="n">
        <f aca="false">Inputs!B6/SUM(Inputs!$B$5:$B$7)</f>
        <v>0.323809523809524</v>
      </c>
      <c r="F6" s="9" t="n">
        <f aca="false">E6*Inputs!$B$9</f>
        <v>24609523.8095238</v>
      </c>
      <c r="G6" s="9" t="n">
        <f aca="false">D6-F6</f>
        <v>119350476.190476</v>
      </c>
      <c r="H6" s="10" t="n">
        <f aca="false">B6/SUM($B$5:$B$7)</f>
        <v>0.482732701382219</v>
      </c>
      <c r="I6" s="9" t="n">
        <f aca="false">H6*Inputs!$B$9</f>
        <v>36687685.3050487</v>
      </c>
      <c r="J6" s="9" t="n">
        <f aca="false">D6-I6</f>
        <v>107272314.694951</v>
      </c>
    </row>
    <row r="7" customFormat="false" ht="15" hidden="false" customHeight="false" outlineLevel="0" collapsed="false">
      <c r="A7" s="4" t="str">
        <f aca="false">Inputs!A7</f>
        <v>Service</v>
      </c>
      <c r="B7" s="9" t="n">
        <f aca="false">Inputs!B7*Inputs!C7</f>
        <v>56880000</v>
      </c>
      <c r="C7" s="9" t="n">
        <f aca="false">Inputs!D7+Inputs!E7+Inputs!F7</f>
        <v>34000000</v>
      </c>
      <c r="D7" s="9" t="n">
        <f aca="false">B7-C7</f>
        <v>22880000</v>
      </c>
      <c r="E7" s="10" t="n">
        <f aca="false">Inputs!B7/SUM(Inputs!$B$5:$B$7)</f>
        <v>0.15047619047619</v>
      </c>
      <c r="F7" s="9" t="n">
        <f aca="false">E7*Inputs!$B$9</f>
        <v>11436190.4761905</v>
      </c>
      <c r="G7" s="9" t="n">
        <f aca="false">D7-F7</f>
        <v>11443809.5238095</v>
      </c>
      <c r="H7" s="10" t="n">
        <f aca="false">B7/SUM($B$5:$B$7)</f>
        <v>0.148452833340293</v>
      </c>
      <c r="I7" s="9" t="n">
        <f aca="false">H7*Inputs!$B$9</f>
        <v>11282415.3338623</v>
      </c>
      <c r="J7" s="9" t="n">
        <f aca="false">D7-I7</f>
        <v>11597584.6661377</v>
      </c>
    </row>
    <row r="8" customFormat="false" ht="15" hidden="false" customHeight="false" outlineLevel="0" collapsed="false">
      <c r="A8" s="11" t="s">
        <v>35</v>
      </c>
      <c r="B8" s="12" t="n">
        <f aca="false">SUM(B5:B7)</f>
        <v>383152000</v>
      </c>
      <c r="C8" s="12" t="n">
        <f aca="false">SUM(C5:C7)</f>
        <v>214000000</v>
      </c>
      <c r="D8" s="12" t="n">
        <f aca="false">SUM(D5:D7)</f>
        <v>169152000</v>
      </c>
      <c r="F8" s="12" t="n">
        <f aca="false">SUM(F5:F7)</f>
        <v>76000000</v>
      </c>
      <c r="G8" s="12" t="n">
        <f aca="false">SUM(G5:G7)</f>
        <v>93152000</v>
      </c>
      <c r="I8" s="12" t="n">
        <f aca="false">SUM(I5:I7)</f>
        <v>76000000</v>
      </c>
      <c r="J8" s="12" t="n">
        <f aca="false">SUM(J5:J7)</f>
        <v>93152000</v>
      </c>
    </row>
    <row r="10" customFormat="false" ht="15" hidden="false" customHeight="false" outlineLevel="0" collapsed="false">
      <c r="A10" s="11" t="s">
        <v>36</v>
      </c>
      <c r="D10" s="12" t="n">
        <f aca="false">D8-Inputs!B9</f>
        <v>93152000</v>
      </c>
    </row>
    <row r="11" customFormat="false" ht="15" hidden="false" customHeight="false" outlineLevel="0" collapsed="false">
      <c r="A11" s="11" t="s">
        <v>37</v>
      </c>
      <c r="D11" s="12" t="n">
        <f aca="false">F5-I5</f>
        <v>11924386.3531966</v>
      </c>
    </row>
    <row r="13" customFormat="false" ht="15" hidden="false" customHeight="false" outlineLevel="0" collapsed="false">
      <c r="A13" s="4" t="s">
        <v>38</v>
      </c>
      <c r="D13" s="10" t="n">
        <f aca="false">D5/Inputs!B5</f>
        <v>0.00523550724637681</v>
      </c>
    </row>
    <row r="14" customFormat="false" ht="15" hidden="false" customHeight="false" outlineLevel="0" collapsed="false">
      <c r="A14" s="4" t="s">
        <v>39</v>
      </c>
      <c r="D14" s="10" t="n">
        <f aca="false">D6/Inputs!B6</f>
        <v>0.529264705882353</v>
      </c>
    </row>
    <row r="15" customFormat="false" ht="15" hidden="false" customHeight="false" outlineLevel="0" collapsed="false">
      <c r="A15" s="4" t="s">
        <v>40</v>
      </c>
      <c r="D15" s="10" t="n">
        <f aca="false">D7/Inputs!B7</f>
        <v>0.181012658227848</v>
      </c>
    </row>
    <row r="16" customFormat="false" ht="15" hidden="false" customHeight="false" outlineLevel="0" collapsed="false">
      <c r="A16" s="4" t="s">
        <v>41</v>
      </c>
      <c r="D16" s="10" t="n">
        <f aca="false">B8/SUM(Inputs!B5:B7)</f>
        <v>0.456133333333333</v>
      </c>
    </row>
    <row r="17" customFormat="false" ht="15" hidden="false" customHeight="false" outlineLevel="0" collapsed="false">
      <c r="A17" s="4" t="s">
        <v>42</v>
      </c>
      <c r="D17" s="10" t="n">
        <f aca="false">D10/SUM(Inputs!B5:B7)</f>
        <v>0.110895238095238</v>
      </c>
    </row>
    <row r="18" customFormat="false" ht="15" hidden="false" customHeight="false" outlineLevel="0" collapsed="false">
      <c r="A18" s="4" t="s">
        <v>43</v>
      </c>
      <c r="D18" s="9" t="n">
        <f aca="false">Inputs!B5*0.01</f>
        <v>4416000</v>
      </c>
    </row>
    <row r="20" customFormat="false" ht="15" hidden="false" customHeight="false" outlineLevel="0" collapsed="false">
      <c r="A20" s="11" t="s">
        <v>44</v>
      </c>
    </row>
    <row r="21" customFormat="false" ht="15" hidden="false" customHeight="false" outlineLevel="0" collapsed="false">
      <c r="A21" s="4" t="s">
        <v>45</v>
      </c>
      <c r="D21" s="9" t="n">
        <f aca="false">F5-Inputs!B10</f>
        <v>27954285.7142857</v>
      </c>
    </row>
    <row r="22" customFormat="false" ht="15" hidden="false" customHeight="false" outlineLevel="0" collapsed="false">
      <c r="A22" s="4" t="s">
        <v>46</v>
      </c>
      <c r="D22" s="10" t="n">
        <f aca="false">Inputs!B10/Inputs!B9</f>
        <v>0.157894736842105</v>
      </c>
    </row>
    <row r="23" customFormat="false" ht="15" hidden="false" customHeight="false" outlineLevel="0" collapsed="false">
      <c r="A23" s="4" t="s">
        <v>47</v>
      </c>
      <c r="D23" s="9" t="n">
        <f aca="false">F5-D5</f>
        <v>37642285.7142857</v>
      </c>
    </row>
    <row r="24" customFormat="false" ht="15" hidden="false" customHeight="false" outlineLevel="0" collapsed="false">
      <c r="A24" s="4" t="s">
        <v>48</v>
      </c>
      <c r="D24" s="9" t="n">
        <f aca="false">D23/Inputs!C5</f>
        <v>117632142.857143</v>
      </c>
    </row>
    <row r="25" customFormat="false" ht="15" hidden="false" customHeight="false" outlineLevel="0" collapsed="false">
      <c r="A25" s="4" t="s">
        <v>49</v>
      </c>
      <c r="D25" s="10" t="n">
        <f aca="false">D24/Inputs!B5</f>
        <v>0.266377135093168</v>
      </c>
    </row>
    <row r="26" customFormat="false" ht="15" hidden="false" customHeight="false" outlineLevel="0" collapsed="false">
      <c r="A26" s="4" t="s">
        <v>50</v>
      </c>
      <c r="D26" s="9" t="n">
        <f aca="false">D11+(F6-I6)+(F7-I7)</f>
        <v>-9.31322574615479E-009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51</v>
      </c>
    </row>
    <row r="2" customFormat="false" ht="15" hidden="false" customHeight="false" outlineLevel="0" collapsed="false">
      <c r="A2" s="13" t="s">
        <v>52</v>
      </c>
    </row>
    <row r="4" customFormat="false" ht="15" hidden="false" customHeight="false" outlineLevel="0" collapsed="false">
      <c r="A4" s="4" t="s">
        <v>53</v>
      </c>
      <c r="B4" s="14" t="n">
        <f aca="false">Inputs!B14</f>
        <v>24000</v>
      </c>
    </row>
    <row r="5" customFormat="false" ht="15" hidden="false" customHeight="false" outlineLevel="0" collapsed="false">
      <c r="A5" s="4" t="s">
        <v>54</v>
      </c>
      <c r="B5" s="15" t="n">
        <f aca="false">Inputs!B11</f>
        <v>0.08</v>
      </c>
    </row>
    <row r="6" customFormat="false" ht="15" hidden="false" customHeight="false" outlineLevel="0" collapsed="false">
      <c r="A6" s="4" t="s">
        <v>55</v>
      </c>
      <c r="B6" s="14" t="n">
        <f aca="false">B4*B5</f>
        <v>1920</v>
      </c>
    </row>
    <row r="7" customFormat="false" ht="15" hidden="false" customHeight="false" outlineLevel="0" collapsed="false">
      <c r="A7" s="4" t="s">
        <v>56</v>
      </c>
      <c r="B7" s="14" t="n">
        <f aca="false">Inputs!B15</f>
        <v>4800</v>
      </c>
    </row>
    <row r="8" customFormat="false" ht="15" hidden="false" customHeight="false" outlineLevel="0" collapsed="false">
      <c r="A8" s="4" t="s">
        <v>57</v>
      </c>
      <c r="B8" s="14" t="n">
        <f aca="false">B7-B6</f>
        <v>2880</v>
      </c>
    </row>
    <row r="9" customFormat="false" ht="15" hidden="false" customHeight="false" outlineLevel="0" collapsed="false">
      <c r="A9" s="11" t="s">
        <v>58</v>
      </c>
      <c r="B9" s="16" t="n">
        <f aca="false">B4+B8</f>
        <v>26880</v>
      </c>
    </row>
    <row r="10" customFormat="false" ht="15" hidden="false" customHeight="false" outlineLevel="0" collapsed="false">
      <c r="A10" s="4" t="s">
        <v>59</v>
      </c>
      <c r="B10" s="9" t="n">
        <f aca="false">Inputs!B6/B4</f>
        <v>11333.3333333333</v>
      </c>
    </row>
    <row r="11" customFormat="false" ht="15" hidden="false" customHeight="false" outlineLevel="0" collapsed="false">
      <c r="A11" s="4" t="s">
        <v>60</v>
      </c>
      <c r="B11" s="9" t="n">
        <f aca="false">Inputs!B7/B4</f>
        <v>5266.66666666667</v>
      </c>
    </row>
    <row r="12" customFormat="false" ht="15" hidden="false" customHeight="false" outlineLevel="0" collapsed="false">
      <c r="A12" s="4" t="s">
        <v>61</v>
      </c>
      <c r="B12" s="9" t="n">
        <f aca="false">ROUND(B10,2)*B4</f>
        <v>271999920</v>
      </c>
    </row>
    <row r="13" customFormat="false" ht="15" hidden="false" customHeight="false" outlineLevel="0" collapsed="false">
      <c r="A13" s="4" t="s">
        <v>62</v>
      </c>
      <c r="B13" s="9" t="n">
        <f aca="false">ROUND(B11,2)*B4</f>
        <v>126400080</v>
      </c>
    </row>
    <row r="14" customFormat="false" ht="15" hidden="false" customHeight="false" outlineLevel="0" collapsed="false">
      <c r="A14" s="4" t="s">
        <v>63</v>
      </c>
      <c r="B14" s="10" t="n">
        <f aca="false">B6/B7</f>
        <v>0.4</v>
      </c>
    </row>
    <row r="16" customFormat="false" ht="15" hidden="false" customHeight="false" outlineLevel="0" collapsed="false">
      <c r="A16" s="11" t="s">
        <v>64</v>
      </c>
    </row>
    <row r="17" customFormat="false" ht="15" hidden="false" customHeight="false" outlineLevel="0" collapsed="false">
      <c r="A17" s="4" t="s">
        <v>65</v>
      </c>
      <c r="B17" s="9" t="n">
        <f aca="false">0.1*Inputs!B6</f>
        <v>27200000</v>
      </c>
    </row>
    <row r="18" customFormat="false" ht="15" hidden="false" customHeight="false" outlineLevel="0" collapsed="false">
      <c r="A18" s="4" t="s">
        <v>66</v>
      </c>
      <c r="B18" s="9" t="n">
        <f aca="false">B17*Inputs!C6</f>
        <v>18496000</v>
      </c>
    </row>
    <row r="19" customFormat="false" ht="15" hidden="false" customHeight="false" outlineLevel="0" collapsed="false">
      <c r="A19" s="4" t="s">
        <v>67</v>
      </c>
      <c r="B19" s="9" t="n">
        <f aca="false">0.1*Inputs!B7</f>
        <v>12640000</v>
      </c>
    </row>
    <row r="20" customFormat="false" ht="15" hidden="false" customHeight="false" outlineLevel="0" collapsed="false">
      <c r="A20" s="4" t="s">
        <v>66</v>
      </c>
      <c r="B20" s="9" t="n">
        <f aca="false">B19*Inputs!C7</f>
        <v>5688000</v>
      </c>
    </row>
    <row r="21" customFormat="false" ht="15" hidden="false" customHeight="false" outlineLevel="0" collapsed="false">
      <c r="A21" s="11" t="s">
        <v>68</v>
      </c>
      <c r="B21" s="12" t="n">
        <f aca="false">B18+B20</f>
        <v>24184000</v>
      </c>
    </row>
    <row r="22" customFormat="false" ht="15" hidden="false" customHeight="false" outlineLevel="0" collapsed="false">
      <c r="A22" s="11" t="s">
        <v>69</v>
      </c>
      <c r="B22" s="17" t="n">
        <f aca="false">B21/Allocation!D10</f>
        <v>0.259618687736173</v>
      </c>
    </row>
    <row r="23" customFormat="false" ht="15" hidden="false" customHeight="false" outlineLevel="0" collapsed="false">
      <c r="A23" s="4" t="s">
        <v>70</v>
      </c>
      <c r="B23" s="9" t="n">
        <f aca="false">0.1*B4*(B10+B11)</f>
        <v>39840000</v>
      </c>
    </row>
    <row r="25" customFormat="false" ht="15" hidden="false" customHeight="false" outlineLevel="0" collapsed="false">
      <c r="A25" s="11" t="s">
        <v>71</v>
      </c>
    </row>
    <row r="26" customFormat="false" ht="15" hidden="false" customHeight="false" outlineLevel="0" collapsed="false">
      <c r="A26" s="4" t="s">
        <v>72</v>
      </c>
      <c r="B26" s="9" t="n">
        <f aca="false">Inputs!B5/Inputs!B16</f>
        <v>5257142.85714286</v>
      </c>
    </row>
    <row r="27" customFormat="false" ht="15" hidden="false" customHeight="false" outlineLevel="0" collapsed="false">
      <c r="A27" s="4" t="s">
        <v>73</v>
      </c>
      <c r="B27" s="9" t="n">
        <f aca="false">Allocation!B5/Inputs!B16</f>
        <v>1682285.71428571</v>
      </c>
    </row>
    <row r="28" customFormat="false" ht="15" hidden="false" customHeight="false" outlineLevel="0" collapsed="false">
      <c r="A28" s="4" t="s">
        <v>74</v>
      </c>
      <c r="B28" s="9" t="n">
        <f aca="false">ROUND(B26,2)*Inputs!C5</f>
        <v>1682285.7152</v>
      </c>
    </row>
    <row r="30" customFormat="false" ht="15" hidden="false" customHeight="false" outlineLevel="0" collapsed="false">
      <c r="A30" s="13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30"/>
    <col collapsed="false" customWidth="true" hidden="false" outlineLevel="0" max="6" min="6" style="0" width="24"/>
  </cols>
  <sheetData>
    <row r="1" customFormat="false" ht="16.1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4" t="s">
        <v>78</v>
      </c>
      <c r="B4" s="9" t="n">
        <f aca="false">-Allocation!D5</f>
        <v>-2312000</v>
      </c>
    </row>
    <row r="5" customFormat="false" ht="15" hidden="false" customHeight="false" outlineLevel="0" collapsed="false">
      <c r="A5" s="4" t="s">
        <v>79</v>
      </c>
      <c r="B5" s="9" t="n">
        <f aca="false">Inputs!B10</f>
        <v>12000000</v>
      </c>
    </row>
    <row r="6" customFormat="false" ht="15" hidden="false" customHeight="false" outlineLevel="0" collapsed="false">
      <c r="A6" s="4" t="s">
        <v>80</v>
      </c>
      <c r="B6" s="9" t="n">
        <f aca="false">Inputs!B9-Inputs!B10</f>
        <v>64000000</v>
      </c>
    </row>
    <row r="8" customFormat="false" ht="15" hidden="false" customHeight="false" outlineLevel="0" collapsed="false">
      <c r="A8" s="3" t="s">
        <v>81</v>
      </c>
      <c r="B8" s="3" t="s">
        <v>82</v>
      </c>
      <c r="C8" s="3" t="s">
        <v>65</v>
      </c>
      <c r="D8" s="3" t="s">
        <v>67</v>
      </c>
      <c r="E8" s="3" t="s">
        <v>83</v>
      </c>
      <c r="F8" s="3" t="s">
        <v>84</v>
      </c>
    </row>
    <row r="9" customFormat="false" ht="15" hidden="false" customHeight="false" outlineLevel="0" collapsed="false">
      <c r="A9" s="14" t="n">
        <v>1</v>
      </c>
      <c r="B9" s="10" t="n">
        <f aca="false">(1-Inputs!$B$11)^A9</f>
        <v>0.92</v>
      </c>
      <c r="C9" s="9" t="n">
        <f aca="false">Inputs!$B$6*B9</f>
        <v>250240000</v>
      </c>
      <c r="D9" s="9" t="n">
        <f aca="false">Inputs!$B$7*B9</f>
        <v>116288000</v>
      </c>
      <c r="E9" s="9" t="n">
        <f aca="false">(Inputs!$B$6-C9)*Inputs!$C$6+(Inputs!$B$7-D9)*Inputs!$C$7</f>
        <v>19347200</v>
      </c>
      <c r="F9" s="9" t="n">
        <f aca="false">$B$4-E9+$B$5</f>
        <v>-9659200</v>
      </c>
    </row>
    <row r="10" customFormat="false" ht="15" hidden="false" customHeight="false" outlineLevel="0" collapsed="false">
      <c r="A10" s="14" t="n">
        <v>2</v>
      </c>
      <c r="B10" s="10" t="n">
        <f aca="false">(1-Inputs!$B$11)^A10</f>
        <v>0.8464</v>
      </c>
      <c r="C10" s="9" t="n">
        <f aca="false">Inputs!$B$6*B10</f>
        <v>230220800</v>
      </c>
      <c r="D10" s="9" t="n">
        <f aca="false">Inputs!$B$7*B10</f>
        <v>106984960</v>
      </c>
      <c r="E10" s="9" t="n">
        <f aca="false">(Inputs!$B$6-C10)*Inputs!$C$6+(Inputs!$B$7-D10)*Inputs!$C$7</f>
        <v>37146624</v>
      </c>
      <c r="F10" s="9" t="n">
        <f aca="false">$B$4-E10+$B$5</f>
        <v>-27458624</v>
      </c>
    </row>
    <row r="11" customFormat="false" ht="15" hidden="false" customHeight="false" outlineLevel="0" collapsed="false">
      <c r="A11" s="14" t="n">
        <v>3</v>
      </c>
      <c r="B11" s="10" t="n">
        <f aca="false">(1-Inputs!$B$11)^A11</f>
        <v>0.778688</v>
      </c>
      <c r="C11" s="9" t="n">
        <f aca="false">Inputs!$B$6*B11</f>
        <v>211803136</v>
      </c>
      <c r="D11" s="9" t="n">
        <f aca="false">Inputs!$B$7*B11</f>
        <v>98426163.2</v>
      </c>
      <c r="E11" s="9" t="n">
        <f aca="false">(Inputs!$B$6-C11)*Inputs!$C$6+(Inputs!$B$7-D11)*Inputs!$C$7</f>
        <v>53522094.08</v>
      </c>
      <c r="F11" s="9" t="n">
        <f aca="false">$B$4-E11+$B$5</f>
        <v>-43834094.08</v>
      </c>
    </row>
    <row r="12" customFormat="false" ht="15" hidden="false" customHeight="false" outlineLevel="0" collapsed="false">
      <c r="A12" s="14" t="n">
        <v>4</v>
      </c>
      <c r="B12" s="10" t="n">
        <f aca="false">(1-Inputs!$B$11)^A12</f>
        <v>0.71639296</v>
      </c>
      <c r="C12" s="9" t="n">
        <f aca="false">Inputs!$B$6*B12</f>
        <v>194858885.12</v>
      </c>
      <c r="D12" s="9" t="n">
        <f aca="false">Inputs!$B$7*B12</f>
        <v>90552070.144</v>
      </c>
      <c r="E12" s="9" t="n">
        <f aca="false">(Inputs!$B$6-C12)*Inputs!$C$6+(Inputs!$B$7-D12)*Inputs!$C$7</f>
        <v>68587526.5536</v>
      </c>
      <c r="F12" s="9" t="n">
        <f aca="false">$B$4-E12+$B$5</f>
        <v>-58899526.5536</v>
      </c>
    </row>
    <row r="13" customFormat="false" ht="15" hidden="false" customHeight="false" outlineLevel="0" collapsed="false">
      <c r="A13" s="14" t="n">
        <v>5</v>
      </c>
      <c r="B13" s="10" t="n">
        <f aca="false">(1-Inputs!$B$11)^A13</f>
        <v>0.6590815232</v>
      </c>
      <c r="C13" s="9" t="n">
        <f aca="false">Inputs!$B$6*B13</f>
        <v>179270174.3104</v>
      </c>
      <c r="D13" s="9" t="n">
        <f aca="false">Inputs!$B$7*B13</f>
        <v>83307904.53248</v>
      </c>
      <c r="E13" s="9" t="n">
        <f aca="false">(Inputs!$B$6-C13)*Inputs!$C$6+(Inputs!$B$7-D13)*Inputs!$C$7</f>
        <v>82447724.429312</v>
      </c>
      <c r="F13" s="9" t="n">
        <f aca="false">$B$4-E13+$B$5</f>
        <v>-72759724.429312</v>
      </c>
    </row>
    <row r="15" customFormat="false" ht="15" hidden="false" customHeight="false" outlineLevel="0" collapsed="false">
      <c r="A15" s="11" t="s">
        <v>85</v>
      </c>
    </row>
    <row r="16" customFormat="false" ht="15" hidden="false" customHeight="false" outlineLevel="0" collapsed="false">
      <c r="A16" s="4" t="s">
        <v>86</v>
      </c>
      <c r="B16" s="9" t="n">
        <f aca="false">Allocation!D5+E9</f>
        <v>21659200</v>
      </c>
    </row>
    <row r="17" customFormat="false" ht="15" hidden="false" customHeight="false" outlineLevel="0" collapsed="false">
      <c r="A17" s="4" t="s">
        <v>87</v>
      </c>
      <c r="B17" s="10" t="n">
        <f aca="false">B16/Inputs!B9</f>
        <v>0.284989473684211</v>
      </c>
    </row>
    <row r="18" customFormat="false" ht="15" hidden="false" customHeight="false" outlineLevel="0" collapsed="false">
      <c r="A18" s="4" t="s">
        <v>88</v>
      </c>
      <c r="B18" s="10" t="n">
        <f aca="false">-Allocation!G5/Allocation!D10</f>
        <v>0.404095303528488</v>
      </c>
    </row>
    <row r="19" customFormat="false" ht="15" hidden="false" customHeight="false" outlineLevel="0" collapsed="false">
      <c r="A19" s="4" t="s">
        <v>89</v>
      </c>
      <c r="B19" s="18" t="n">
        <f aca="false">Inputs!B12/Allocation!D5</f>
        <v>2.38754325259516</v>
      </c>
    </row>
    <row r="20" customFormat="false" ht="15" hidden="false" customHeight="false" outlineLevel="0" collapsed="false">
      <c r="A20" s="11" t="s">
        <v>90</v>
      </c>
    </row>
    <row r="21" customFormat="false" ht="15" hidden="false" customHeight="false" outlineLevel="0" collapsed="false">
      <c r="A21" s="4" t="s">
        <v>91</v>
      </c>
      <c r="B21" s="9" t="n">
        <f aca="false">B6*Inputs!B6/(Inputs!B6+Inputs!B7)</f>
        <v>43694779.1164659</v>
      </c>
    </row>
    <row r="22" customFormat="false" ht="15" hidden="false" customHeight="false" outlineLevel="0" collapsed="false">
      <c r="A22" s="4" t="s">
        <v>92</v>
      </c>
      <c r="B22" s="9" t="n">
        <f aca="false">B21-Allocation!F6</f>
        <v>19085255.3069421</v>
      </c>
    </row>
    <row r="23" customFormat="false" ht="15" hidden="false" customHeight="false" outlineLevel="0" collapsed="false">
      <c r="A23" s="4" t="s">
        <v>93</v>
      </c>
      <c r="B23" s="9" t="n">
        <f aca="false">B6*Inputs!B7/(Inputs!B6+Inputs!B7)</f>
        <v>20305220.8835341</v>
      </c>
    </row>
    <row r="24" customFormat="false" ht="15" hidden="false" customHeight="false" outlineLevel="0" collapsed="false">
      <c r="A24" s="4" t="s">
        <v>92</v>
      </c>
      <c r="B24" s="9" t="n">
        <f aca="false">B23-Allocation!F7</f>
        <v>8869030.40734366</v>
      </c>
    </row>
    <row r="25" customFormat="false" ht="15" hidden="false" customHeight="false" outlineLevel="0" collapsed="false">
      <c r="A25" s="4" t="s">
        <v>94</v>
      </c>
      <c r="B25" s="10" t="n">
        <f aca="false">C9/(C9+D9)</f>
        <v>0.682730923694779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2"/>
  </cols>
  <sheetData>
    <row r="1" customFormat="false" ht="16.15" hidden="false" customHeight="fals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15" hidden="false" customHeight="false" outlineLevel="0" collapsed="false">
      <c r="A4" s="4" t="s">
        <v>97</v>
      </c>
      <c r="B4" s="9" t="n">
        <f aca="false">Allocation!D6+Allocation!D7</f>
        <v>166840000</v>
      </c>
    </row>
    <row r="5" customFormat="false" ht="15" hidden="false" customHeight="false" outlineLevel="0" collapsed="false">
      <c r="A5" s="4" t="s">
        <v>19</v>
      </c>
      <c r="B5" s="14" t="n">
        <f aca="false">Inputs!B14</f>
        <v>24000</v>
      </c>
    </row>
    <row r="6" customFormat="false" ht="15" hidden="false" customHeight="false" outlineLevel="0" collapsed="false">
      <c r="A6" s="4" t="s">
        <v>98</v>
      </c>
      <c r="B6" s="9" t="n">
        <f aca="false">B4/Inputs!B14</f>
        <v>6951.66666666667</v>
      </c>
    </row>
    <row r="7" customFormat="false" ht="15" hidden="false" customHeight="false" outlineLevel="0" collapsed="false">
      <c r="A7" s="4" t="s">
        <v>18</v>
      </c>
      <c r="B7" s="14" t="n">
        <f aca="false">Inputs!B13</f>
        <v>180</v>
      </c>
    </row>
    <row r="8" customFormat="false" ht="15" hidden="false" customHeight="false" outlineLevel="0" collapsed="false">
      <c r="A8" s="4" t="s">
        <v>99</v>
      </c>
      <c r="B8" s="9" t="n">
        <f aca="false">B6*Inputs!B13</f>
        <v>1251300</v>
      </c>
    </row>
    <row r="9" customFormat="false" ht="15" hidden="false" customHeight="false" outlineLevel="0" collapsed="false">
      <c r="A9" s="4" t="s">
        <v>100</v>
      </c>
      <c r="B9" s="9" t="n">
        <f aca="false">Inputs!B12</f>
        <v>5520000</v>
      </c>
    </row>
    <row r="10" customFormat="false" ht="15" hidden="false" customHeight="false" outlineLevel="0" collapsed="false">
      <c r="A10" s="11" t="s">
        <v>101</v>
      </c>
      <c r="B10" s="12" t="n">
        <f aca="false">B8-B9</f>
        <v>-4268700</v>
      </c>
    </row>
    <row r="11" customFormat="false" ht="15" hidden="false" customHeight="false" outlineLevel="0" collapsed="false">
      <c r="A11" s="11" t="s">
        <v>102</v>
      </c>
      <c r="B11" s="19" t="n">
        <f aca="false">B9/B8</f>
        <v>4.41141213138336</v>
      </c>
    </row>
    <row r="12" customFormat="false" ht="15" hidden="false" customHeight="false" outlineLevel="0" collapsed="false">
      <c r="A12" s="4" t="s">
        <v>103</v>
      </c>
      <c r="B12" s="20" t="n">
        <f aca="false">1/Inputs!B11</f>
        <v>12.5</v>
      </c>
    </row>
    <row r="13" customFormat="false" ht="15" hidden="false" customHeight="false" outlineLevel="0" collapsed="false">
      <c r="A13" s="4" t="s">
        <v>104</v>
      </c>
      <c r="B13" s="9" t="n">
        <f aca="false">B8*B12</f>
        <v>15641250</v>
      </c>
    </row>
    <row r="14" customFormat="false" ht="15" hidden="false" customHeight="false" outlineLevel="0" collapsed="false">
      <c r="A14" s="11" t="s">
        <v>105</v>
      </c>
      <c r="B14" s="21" t="n">
        <f aca="false">B13/B9</f>
        <v>2.8335597826087</v>
      </c>
    </row>
    <row r="15" customFormat="false" ht="15" hidden="false" customHeight="false" outlineLevel="0" collapsed="false">
      <c r="A15" s="4" t="s">
        <v>106</v>
      </c>
      <c r="B15" s="10" t="n">
        <f aca="false">B9/B13</f>
        <v>0.352912970510669</v>
      </c>
    </row>
    <row r="16" customFormat="false" ht="15" hidden="false" customHeight="false" outlineLevel="0" collapsed="false">
      <c r="A16" s="11" t="s">
        <v>107</v>
      </c>
      <c r="B16" s="17" t="n">
        <f aca="false">1-B15</f>
        <v>0.647087029489331</v>
      </c>
    </row>
    <row r="18" customFormat="false" ht="15" hidden="false" customHeight="false" outlineLevel="0" collapsed="false">
      <c r="A18" s="11" t="s">
        <v>108</v>
      </c>
      <c r="B18" s="22" t="n">
        <v>0.1</v>
      </c>
    </row>
    <row r="19" customFormat="false" ht="15" hidden="false" customHeight="false" outlineLevel="0" collapsed="false">
      <c r="A19" s="4" t="s">
        <v>109</v>
      </c>
      <c r="B19" s="9" t="n">
        <f aca="false">B8*(1-(1+B18)^-B12)/B18</f>
        <v>8711518.51081746</v>
      </c>
    </row>
    <row r="20" customFormat="false" ht="15" hidden="false" customHeight="false" outlineLevel="0" collapsed="false">
      <c r="A20" s="4" t="s">
        <v>110</v>
      </c>
      <c r="B20" s="18" t="n">
        <f aca="false">B19/B9</f>
        <v>1.57817364326403</v>
      </c>
    </row>
    <row r="22" customFormat="false" ht="15" hidden="false" customHeight="false" outlineLevel="0" collapsed="false">
      <c r="A22" s="11" t="s">
        <v>111</v>
      </c>
      <c r="B22" s="17" t="n">
        <f aca="false">RATE(B12,-B8,B9)</f>
        <v>0.204547571137329</v>
      </c>
    </row>
    <row r="23" customFormat="false" ht="15" hidden="false" customHeight="false" outlineLevel="0" collapsed="false">
      <c r="A23" s="4" t="s">
        <v>112</v>
      </c>
      <c r="B23" s="9" t="n">
        <f aca="false">B8*(1-(1+B22)^-B12)/B22</f>
        <v>5520000</v>
      </c>
    </row>
    <row r="25" customFormat="false" ht="15" hidden="false" customHeight="false" outlineLevel="0" collapsed="false">
      <c r="A25" s="11" t="s">
        <v>113</v>
      </c>
    </row>
    <row r="26" customFormat="false" ht="15" hidden="false" customHeight="false" outlineLevel="0" collapsed="false">
      <c r="A26" s="4" t="s">
        <v>114</v>
      </c>
      <c r="B26" s="9" t="n">
        <f aca="false">B4/Inputs!B15</f>
        <v>34758.3333333333</v>
      </c>
    </row>
    <row r="27" customFormat="false" ht="15" hidden="false" customHeight="false" outlineLevel="0" collapsed="false">
      <c r="A27" s="4" t="s">
        <v>115</v>
      </c>
      <c r="B27" s="18" t="n">
        <f aca="false">B26/B6</f>
        <v>5</v>
      </c>
    </row>
    <row r="28" customFormat="false" ht="15" hidden="false" customHeight="false" outlineLevel="0" collapsed="false">
      <c r="A28" s="4" t="s">
        <v>116</v>
      </c>
      <c r="B28" s="9" t="n">
        <f aca="false">(Allocation!B6+Allocation!B7)/Inputs!B14</f>
        <v>10076.6666666667</v>
      </c>
    </row>
    <row r="29" customFormat="false" ht="15" hidden="false" customHeight="false" outlineLevel="0" collapsed="false">
      <c r="A29" s="4" t="s">
        <v>117</v>
      </c>
      <c r="B29" s="9" t="n">
        <f aca="false">(Allocation!B6+Allocation!B7)-B4</f>
        <v>75000000</v>
      </c>
    </row>
    <row r="30" customFormat="false" ht="15" hidden="false" customHeight="false" outlineLevel="0" collapsed="false">
      <c r="A30" s="4" t="s">
        <v>118</v>
      </c>
      <c r="B30" s="9" t="n">
        <f aca="false">Allocation!D5/Inputs!B15</f>
        <v>481.666666666667</v>
      </c>
    </row>
    <row r="31" customFormat="false" ht="15" hidden="false" customHeight="false" outlineLevel="0" collapsed="false">
      <c r="A31" s="4" t="s">
        <v>119</v>
      </c>
      <c r="B31" s="9" t="n">
        <f aca="false">B9/Inputs!B17</f>
        <v>4000</v>
      </c>
    </row>
    <row r="32" customFormat="false" ht="15" hidden="false" customHeight="false" outlineLevel="0" collapsed="false">
      <c r="A32" s="4" t="s">
        <v>120</v>
      </c>
      <c r="B32" s="10" t="n">
        <f aca="false">B31/B6</f>
        <v>0.575401582354352</v>
      </c>
    </row>
    <row r="33" customFormat="false" ht="15" hidden="false" customHeight="false" outlineLevel="0" collapsed="false">
      <c r="A33" s="4" t="s">
        <v>121</v>
      </c>
      <c r="B33" s="9" t="n">
        <f aca="false">B9/B7</f>
        <v>30666.6666666667</v>
      </c>
    </row>
    <row r="34" customFormat="false" ht="15" hidden="false" customHeight="false" outlineLevel="0" collapsed="false">
      <c r="A34" s="4" t="s">
        <v>122</v>
      </c>
      <c r="B34" s="9" t="n">
        <f aca="false">B28*B7</f>
        <v>1813800</v>
      </c>
    </row>
    <row r="35" customFormat="false" ht="15" hidden="false" customHeight="false" outlineLevel="0" collapsed="false">
      <c r="A35" s="4" t="s">
        <v>123</v>
      </c>
      <c r="B35" s="9" t="n">
        <f aca="false">B34-B9</f>
        <v>-3706200</v>
      </c>
    </row>
    <row r="36" customFormat="false" ht="15" hidden="false" customHeight="false" outlineLevel="0" collapsed="false">
      <c r="A36" s="4" t="s">
        <v>124</v>
      </c>
      <c r="B36" s="20" t="n">
        <f aca="false">B9/B34</f>
        <v>3.04333443599074</v>
      </c>
    </row>
    <row r="37" customFormat="false" ht="15" hidden="false" customHeight="false" outlineLevel="0" collapsed="false">
      <c r="A37" s="4" t="s">
        <v>125</v>
      </c>
      <c r="B37" s="23" t="n">
        <f aca="false">B9/(B6*B12)</f>
        <v>63.5243346919204</v>
      </c>
    </row>
    <row r="39" customFormat="false" ht="15" hidden="false" customHeight="false" outlineLevel="0" collapsed="false">
      <c r="A39" s="11" t="s">
        <v>126</v>
      </c>
    </row>
    <row r="40" customFormat="false" ht="15" hidden="false" customHeight="false" outlineLevel="0" collapsed="false">
      <c r="A40" s="4" t="s">
        <v>127</v>
      </c>
      <c r="B40" s="9" t="n">
        <f aca="false">B30*B7</f>
        <v>86700</v>
      </c>
    </row>
    <row r="41" customFormat="false" ht="15" hidden="false" customHeight="false" outlineLevel="0" collapsed="false">
      <c r="A41" s="11" t="s">
        <v>128</v>
      </c>
      <c r="B41" s="12" t="n">
        <f aca="false">B8-B9+B40</f>
        <v>-4182000</v>
      </c>
    </row>
    <row r="42" customFormat="false" ht="15" hidden="false" customHeight="false" outlineLevel="0" collapsed="false">
      <c r="A42" s="4" t="s">
        <v>129</v>
      </c>
      <c r="B42" s="9" t="n">
        <f aca="false">Inputs!B18*Inputs!C5*B7</f>
        <v>5299200</v>
      </c>
    </row>
    <row r="43" customFormat="false" ht="15" hidden="false" customHeight="false" outlineLevel="0" collapsed="false">
      <c r="A43" s="11" t="s">
        <v>130</v>
      </c>
      <c r="B43" s="12" t="n">
        <f aca="false">B34-B9+B42</f>
        <v>1593000</v>
      </c>
    </row>
    <row r="44" customFormat="false" ht="15" hidden="false" customHeight="false" outlineLevel="0" collapsed="false">
      <c r="A44" s="4" t="s">
        <v>131</v>
      </c>
      <c r="B44" s="20" t="n">
        <f aca="false">(B9-B40)/B8</f>
        <v>4.34212419084153</v>
      </c>
    </row>
    <row r="45" customFormat="false" ht="15" hidden="false" customHeight="false" outlineLevel="0" collapsed="false">
      <c r="A45" s="4" t="s">
        <v>132</v>
      </c>
      <c r="B45" s="9" t="n">
        <f aca="false">B8/(B18+Inputs!B11)</f>
        <v>6951666.66666667</v>
      </c>
    </row>
    <row r="46" customFormat="false" ht="15" hidden="false" customHeight="false" outlineLevel="0" collapsed="false">
      <c r="A46" s="11" t="s">
        <v>133</v>
      </c>
      <c r="B46" s="17" t="n">
        <f aca="false">B8/(B9-B40)-Inputs!B11</f>
        <v>0.1503020263928</v>
      </c>
    </row>
    <row r="48" customFormat="false" ht="15" hidden="false" customHeight="false" outlineLevel="0" collapsed="false">
      <c r="A48" s="13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20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4" customFormat="false" ht="15" hidden="false" customHeight="false" outlineLevel="0" collapsed="false">
      <c r="A4" s="3" t="s">
        <v>137</v>
      </c>
      <c r="B4" s="3" t="s">
        <v>138</v>
      </c>
      <c r="C4" s="3" t="s">
        <v>139</v>
      </c>
      <c r="D4" s="3" t="s">
        <v>140</v>
      </c>
      <c r="E4" s="3" t="s">
        <v>141</v>
      </c>
    </row>
    <row r="5" customFormat="false" ht="15" hidden="false" customHeight="false" outlineLevel="0" collapsed="false">
      <c r="A5" s="24" t="s">
        <v>142</v>
      </c>
      <c r="B5" s="9" t="n">
        <v>2312000</v>
      </c>
      <c r="C5" s="9" t="n">
        <f aca="false">Allocation!D5</f>
        <v>2312000</v>
      </c>
      <c r="D5" s="9" t="n">
        <f aca="false">ROUND(C5-B5,6)</f>
        <v>0</v>
      </c>
      <c r="E5" s="11" t="str">
        <f aca="false">IF(ISNUMBER(C5),IF(ABS(D5)&lt;IF(ABS(B5)&lt;10,0.0000005,0.005),"PASS","CHECK"),"CHECK")</f>
        <v>PASS</v>
      </c>
    </row>
    <row r="6" customFormat="false" ht="15" hidden="false" customHeight="false" outlineLevel="0" collapsed="false">
      <c r="A6" s="24" t="s">
        <v>143</v>
      </c>
      <c r="B6" s="9" t="n">
        <v>143960000</v>
      </c>
      <c r="C6" s="9" t="n">
        <f aca="false">Allocation!D6</f>
        <v>143960000</v>
      </c>
      <c r="D6" s="9" t="n">
        <f aca="false">ROUND(C6-B6,6)</f>
        <v>0</v>
      </c>
      <c r="E6" s="11" t="str">
        <f aca="false">IF(ISNUMBER(C6),IF(ABS(D6)&lt;IF(ABS(B6)&lt;10,0.0000005,0.005),"PASS","CHECK"),"CHECK")</f>
        <v>PASS</v>
      </c>
    </row>
    <row r="7" customFormat="false" ht="15" hidden="false" customHeight="false" outlineLevel="0" collapsed="false">
      <c r="A7" s="24" t="s">
        <v>144</v>
      </c>
      <c r="B7" s="9" t="n">
        <v>22880000</v>
      </c>
      <c r="C7" s="9" t="n">
        <f aca="false">Allocation!D7</f>
        <v>22880000</v>
      </c>
      <c r="D7" s="9" t="n">
        <f aca="false">ROUND(C7-B7,6)</f>
        <v>0</v>
      </c>
      <c r="E7" s="11" t="str">
        <f aca="false">IF(ISNUMBER(C7),IF(ABS(D7)&lt;IF(ABS(B7)&lt;10,0.0000005,0.005),"PASS","CHECK"),"CHECK")</f>
        <v>PASS</v>
      </c>
    </row>
    <row r="8" customFormat="false" ht="15" hidden="false" customHeight="false" outlineLevel="0" collapsed="false">
      <c r="A8" s="24" t="s">
        <v>145</v>
      </c>
      <c r="B8" s="9" t="n">
        <v>93152000</v>
      </c>
      <c r="C8" s="9" t="n">
        <f aca="false">Allocation!D10</f>
        <v>93152000</v>
      </c>
      <c r="D8" s="9" t="n">
        <f aca="false">ROUND(C8-B8,6)</f>
        <v>0</v>
      </c>
      <c r="E8" s="11" t="str">
        <f aca="false">IF(ISNUMBER(C8),IF(ABS(D8)&lt;IF(ABS(B8)&lt;10,0.0000005,0.005),"PASS","CHECK"),"CHECK")</f>
        <v>PASS</v>
      </c>
    </row>
    <row r="9" customFormat="false" ht="15" hidden="false" customHeight="false" outlineLevel="0" collapsed="false">
      <c r="A9" s="24" t="s">
        <v>146</v>
      </c>
      <c r="B9" s="9" t="n">
        <v>-37642285.7142857</v>
      </c>
      <c r="C9" s="9" t="n">
        <f aca="false">Allocation!G5</f>
        <v>-37642285.7142857</v>
      </c>
      <c r="D9" s="9" t="n">
        <f aca="false">ROUND(C9-B9,6)</f>
        <v>0</v>
      </c>
      <c r="E9" s="11" t="str">
        <f aca="false">IF(ISNUMBER(C9),IF(ABS(D9)&lt;IF(ABS(B9)&lt;10,0.0000005,0.005),"PASS","CHECK"),"CHECK")</f>
        <v>PASS</v>
      </c>
    </row>
    <row r="10" customFormat="false" ht="15" hidden="false" customHeight="false" outlineLevel="0" collapsed="false">
      <c r="A10" s="24" t="s">
        <v>147</v>
      </c>
      <c r="B10" s="9" t="n">
        <v>-25717899.3610891</v>
      </c>
      <c r="C10" s="9" t="n">
        <f aca="false">Allocation!J5</f>
        <v>-25717899.3610891</v>
      </c>
      <c r="D10" s="9" t="n">
        <f aca="false">ROUND(C10-B10,6)</f>
        <v>0</v>
      </c>
      <c r="E10" s="11" t="str">
        <f aca="false">IF(ISNUMBER(C10),IF(ABS(D10)&lt;IF(ABS(B10)&lt;10,0.0000005,0.005),"PASS","CHECK"),"CHECK")</f>
        <v>PASS</v>
      </c>
    </row>
    <row r="11" customFormat="false" ht="15" hidden="false" customHeight="false" outlineLevel="0" collapsed="false">
      <c r="A11" s="24" t="s">
        <v>148</v>
      </c>
      <c r="B11" s="9" t="n">
        <v>11924386.3531966</v>
      </c>
      <c r="C11" s="9" t="n">
        <f aca="false">Allocation!D11</f>
        <v>11924386.3531966</v>
      </c>
      <c r="D11" s="9" t="n">
        <f aca="false">ROUND(C11-B11,6)</f>
        <v>0</v>
      </c>
      <c r="E11" s="11" t="str">
        <f aca="false">IF(ISNUMBER(C11),IF(ABS(D11)&lt;IF(ABS(B11)&lt;10,0.0000005,0.005),"PASS","CHECK"),"CHECK")</f>
        <v>PASS</v>
      </c>
    </row>
    <row r="12" customFormat="false" ht="15" hidden="false" customHeight="false" outlineLevel="0" collapsed="false">
      <c r="A12" s="24" t="s">
        <v>149</v>
      </c>
      <c r="B12" s="9" t="n">
        <v>36687685.3050487</v>
      </c>
      <c r="C12" s="9" t="n">
        <f aca="false">Allocation!I6</f>
        <v>36687685.3050487</v>
      </c>
      <c r="D12" s="9" t="n">
        <f aca="false">ROUND(C12-B12,6)</f>
        <v>0</v>
      </c>
      <c r="E12" s="11" t="str">
        <f aca="false">IF(ISNUMBER(C12),IF(ABS(D12)&lt;IF(ABS(B12)&lt;10,0.0000005,0.005),"PASS","CHECK"),"CHECK")</f>
        <v>PASS</v>
      </c>
    </row>
    <row r="13" customFormat="false" ht="15" hidden="false" customHeight="false" outlineLevel="0" collapsed="false">
      <c r="A13" s="24" t="s">
        <v>150</v>
      </c>
      <c r="B13" s="9" t="n">
        <v>11597584.6661377</v>
      </c>
      <c r="C13" s="9" t="n">
        <f aca="false">Allocation!J7</f>
        <v>11597584.6661377</v>
      </c>
      <c r="D13" s="9" t="n">
        <f aca="false">ROUND(C13-B13,6)</f>
        <v>0</v>
      </c>
      <c r="E13" s="11" t="str">
        <f aca="false">IF(ISNUMBER(C13),IF(ABS(D13)&lt;IF(ABS(B13)&lt;10,0.0000005,0.005),"PASS","CHECK"),"CHECK")</f>
        <v>PASS</v>
      </c>
    </row>
    <row r="14" customFormat="false" ht="15" hidden="false" customHeight="false" outlineLevel="0" collapsed="false">
      <c r="A14" s="24" t="s">
        <v>151</v>
      </c>
      <c r="B14" s="10" t="n">
        <v>0.00523550724637681</v>
      </c>
      <c r="C14" s="10" t="n">
        <f aca="false">Allocation!D13</f>
        <v>0.00523550724637681</v>
      </c>
      <c r="D14" s="10" t="n">
        <f aca="false">ROUND(C14-B14,6)</f>
        <v>0</v>
      </c>
      <c r="E14" s="11" t="str">
        <f aca="false">IF(ISNUMBER(C14),IF(ABS(D14)&lt;IF(ABS(B14)&lt;10,0.0000005,0.005),"PASS","CHECK"),"CHECK")</f>
        <v>PASS</v>
      </c>
    </row>
    <row r="15" customFormat="false" ht="15" hidden="false" customHeight="false" outlineLevel="0" collapsed="false">
      <c r="A15" s="24" t="s">
        <v>152</v>
      </c>
      <c r="B15" s="10" t="n">
        <v>0.529264705882353</v>
      </c>
      <c r="C15" s="10" t="n">
        <f aca="false">Allocation!D14</f>
        <v>0.529264705882353</v>
      </c>
      <c r="D15" s="10" t="n">
        <f aca="false">ROUND(C15-B15,6)</f>
        <v>0</v>
      </c>
      <c r="E15" s="11" t="str">
        <f aca="false">IF(ISNUMBER(C15),IF(ABS(D15)&lt;IF(ABS(B15)&lt;10,0.0000005,0.005),"PASS","CHECK"),"CHECK")</f>
        <v>PASS</v>
      </c>
    </row>
    <row r="16" customFormat="false" ht="15" hidden="false" customHeight="false" outlineLevel="0" collapsed="false">
      <c r="A16" s="24" t="s">
        <v>153</v>
      </c>
      <c r="B16" s="10" t="n">
        <v>0.181012658227848</v>
      </c>
      <c r="C16" s="10" t="n">
        <f aca="false">Allocation!D15</f>
        <v>0.181012658227848</v>
      </c>
      <c r="D16" s="10" t="n">
        <f aca="false">ROUND(C16-B16,6)</f>
        <v>0</v>
      </c>
      <c r="E16" s="11" t="str">
        <f aca="false">IF(ISNUMBER(C16),IF(ABS(D16)&lt;IF(ABS(B16)&lt;10,0.0000005,0.005),"PASS","CHECK"),"CHECK")</f>
        <v>PASS</v>
      </c>
    </row>
    <row r="17" customFormat="false" ht="15" hidden="false" customHeight="false" outlineLevel="0" collapsed="false">
      <c r="A17" s="24" t="s">
        <v>154</v>
      </c>
      <c r="B17" s="9" t="n">
        <v>27954285.7142857</v>
      </c>
      <c r="C17" s="9" t="n">
        <f aca="false">Allocation!D21</f>
        <v>27954285.7142857</v>
      </c>
      <c r="D17" s="9" t="n">
        <f aca="false">ROUND(C17-B17,6)</f>
        <v>0</v>
      </c>
      <c r="E17" s="11" t="str">
        <f aca="false">IF(ISNUMBER(C17),IF(ABS(D17)&lt;IF(ABS(B17)&lt;10,0.0000005,0.005),"PASS","CHECK"),"CHECK")</f>
        <v>PASS</v>
      </c>
    </row>
    <row r="18" customFormat="false" ht="15" hidden="false" customHeight="false" outlineLevel="0" collapsed="false">
      <c r="A18" s="24" t="s">
        <v>155</v>
      </c>
      <c r="B18" s="10" t="n">
        <v>0.157894736842105</v>
      </c>
      <c r="C18" s="10" t="n">
        <f aca="false">Allocation!D22</f>
        <v>0.157894736842105</v>
      </c>
      <c r="D18" s="10" t="n">
        <f aca="false">ROUND(C18-B18,6)</f>
        <v>0</v>
      </c>
      <c r="E18" s="11" t="str">
        <f aca="false">IF(ISNUMBER(C18),IF(ABS(D18)&lt;IF(ABS(B18)&lt;10,0.0000005,0.005),"PASS","CHECK"),"CHECK")</f>
        <v>PASS</v>
      </c>
    </row>
    <row r="19" customFormat="false" ht="15" hidden="false" customHeight="false" outlineLevel="0" collapsed="false">
      <c r="A19" s="24" t="s">
        <v>156</v>
      </c>
      <c r="B19" s="10" t="n">
        <v>0.266377135093168</v>
      </c>
      <c r="C19" s="10" t="n">
        <f aca="false">Allocation!D25</f>
        <v>0.266377135093168</v>
      </c>
      <c r="D19" s="10" t="n">
        <f aca="false">ROUND(C19-B19,6)</f>
        <v>0</v>
      </c>
      <c r="E19" s="11" t="str">
        <f aca="false">IF(ISNUMBER(C19),IF(ABS(D19)&lt;IF(ABS(B19)&lt;10,0.0000005,0.005),"PASS","CHECK"),"CHECK")</f>
        <v>PASS</v>
      </c>
    </row>
    <row r="20" customFormat="false" ht="15" hidden="false" customHeight="false" outlineLevel="0" collapsed="false">
      <c r="A20" s="24" t="s">
        <v>157</v>
      </c>
      <c r="B20" s="9" t="n">
        <v>4416000</v>
      </c>
      <c r="C20" s="9" t="n">
        <f aca="false">Allocation!D18</f>
        <v>4416000</v>
      </c>
      <c r="D20" s="9" t="n">
        <f aca="false">ROUND(C20-B20,6)</f>
        <v>0</v>
      </c>
      <c r="E20" s="11" t="str">
        <f aca="false">IF(ISNUMBER(C20),IF(ABS(D20)&lt;IF(ABS(B20)&lt;10,0.0000005,0.005),"PASS","CHECK"),"CHECK")</f>
        <v>PASS</v>
      </c>
    </row>
    <row r="21" customFormat="false" ht="15" hidden="false" customHeight="false" outlineLevel="0" collapsed="false">
      <c r="A21" s="24" t="s">
        <v>158</v>
      </c>
      <c r="B21" s="9" t="n">
        <v>19347200</v>
      </c>
      <c r="C21" s="9" t="n">
        <f aca="false">Closure!E9</f>
        <v>19347200</v>
      </c>
      <c r="D21" s="9" t="n">
        <f aca="false">ROUND(C21-B21,6)</f>
        <v>0</v>
      </c>
      <c r="E21" s="11" t="str">
        <f aca="false">IF(ISNUMBER(C21),IF(ABS(D21)&lt;IF(ABS(B21)&lt;10,0.0000005,0.005),"PASS","CHECK"),"CHECK")</f>
        <v>PASS</v>
      </c>
    </row>
    <row r="22" customFormat="false" ht="15" hidden="false" customHeight="false" outlineLevel="0" collapsed="false">
      <c r="A22" s="24" t="s">
        <v>159</v>
      </c>
      <c r="B22" s="9" t="n">
        <v>-9659200</v>
      </c>
      <c r="C22" s="9" t="n">
        <f aca="false">Closure!F9</f>
        <v>-9659200</v>
      </c>
      <c r="D22" s="9" t="n">
        <f aca="false">ROUND(C22-B22,6)</f>
        <v>0</v>
      </c>
      <c r="E22" s="11" t="str">
        <f aca="false">IF(ISNUMBER(C22),IF(ABS(D22)&lt;IF(ABS(B22)&lt;10,0.0000005,0.005),"PASS","CHECK"),"CHECK")</f>
        <v>PASS</v>
      </c>
    </row>
    <row r="23" customFormat="false" ht="15" hidden="false" customHeight="false" outlineLevel="0" collapsed="false">
      <c r="A23" s="24" t="s">
        <v>160</v>
      </c>
      <c r="B23" s="9" t="n">
        <v>53522094.08</v>
      </c>
      <c r="C23" s="9" t="n">
        <f aca="false">Closure!E11</f>
        <v>53522094.08</v>
      </c>
      <c r="D23" s="9" t="n">
        <f aca="false">ROUND(C23-B23,6)</f>
        <v>0</v>
      </c>
      <c r="E23" s="11" t="str">
        <f aca="false">IF(ISNUMBER(C23),IF(ABS(D23)&lt;IF(ABS(B23)&lt;10,0.0000005,0.005),"PASS","CHECK"),"CHECK")</f>
        <v>PASS</v>
      </c>
    </row>
    <row r="24" customFormat="false" ht="15" hidden="false" customHeight="false" outlineLevel="0" collapsed="false">
      <c r="A24" s="24" t="s">
        <v>161</v>
      </c>
      <c r="B24" s="9" t="n">
        <v>-43834094.08</v>
      </c>
      <c r="C24" s="9" t="n">
        <f aca="false">Closure!F11</f>
        <v>-43834094.08</v>
      </c>
      <c r="D24" s="9" t="n">
        <f aca="false">ROUND(C24-B24,6)</f>
        <v>0</v>
      </c>
      <c r="E24" s="11" t="str">
        <f aca="false">IF(ISNUMBER(C24),IF(ABS(D24)&lt;IF(ABS(B24)&lt;10,0.0000005,0.005),"PASS","CHECK"),"CHECK")</f>
        <v>PASS</v>
      </c>
    </row>
    <row r="25" customFormat="false" ht="15" hidden="false" customHeight="false" outlineLevel="0" collapsed="false">
      <c r="A25" s="24" t="s">
        <v>162</v>
      </c>
      <c r="B25" s="9" t="n">
        <v>82447724.429312</v>
      </c>
      <c r="C25" s="9" t="n">
        <f aca="false">Closure!E13</f>
        <v>82447724.429312</v>
      </c>
      <c r="D25" s="9" t="n">
        <f aca="false">ROUND(C25-B25,6)</f>
        <v>0</v>
      </c>
      <c r="E25" s="11" t="str">
        <f aca="false">IF(ISNUMBER(C25),IF(ABS(D25)&lt;IF(ABS(B25)&lt;10,0.0000005,0.005),"PASS","CHECK"),"CHECK")</f>
        <v>PASS</v>
      </c>
    </row>
    <row r="26" customFormat="false" ht="15" hidden="false" customHeight="false" outlineLevel="0" collapsed="false">
      <c r="A26" s="24" t="s">
        <v>163</v>
      </c>
      <c r="B26" s="9" t="n">
        <v>21659200</v>
      </c>
      <c r="C26" s="9" t="n">
        <f aca="false">Closure!B16</f>
        <v>21659200</v>
      </c>
      <c r="D26" s="9" t="n">
        <f aca="false">ROUND(C26-B26,6)</f>
        <v>0</v>
      </c>
      <c r="E26" s="11" t="str">
        <f aca="false">IF(ISNUMBER(C26),IF(ABS(D26)&lt;IF(ABS(B26)&lt;10,0.0000005,0.005),"PASS","CHECK"),"CHECK")</f>
        <v>PASS</v>
      </c>
    </row>
    <row r="27" customFormat="false" ht="15" hidden="false" customHeight="false" outlineLevel="0" collapsed="false">
      <c r="A27" s="24" t="s">
        <v>164</v>
      </c>
      <c r="B27" s="10" t="n">
        <v>0.284989473684211</v>
      </c>
      <c r="C27" s="10" t="n">
        <f aca="false">Closure!B17</f>
        <v>0.284989473684211</v>
      </c>
      <c r="D27" s="10" t="n">
        <f aca="false">ROUND(C27-B27,6)</f>
        <v>0</v>
      </c>
      <c r="E27" s="11" t="str">
        <f aca="false">IF(ISNUMBER(C27),IF(ABS(D27)&lt;IF(ABS(B27)&lt;10,0.0000005,0.005),"PASS","CHECK"),"CHECK")</f>
        <v>PASS</v>
      </c>
    </row>
    <row r="28" customFormat="false" ht="15" hidden="false" customHeight="false" outlineLevel="0" collapsed="false">
      <c r="A28" s="24" t="s">
        <v>165</v>
      </c>
      <c r="B28" s="10" t="n">
        <v>0.404095303528488</v>
      </c>
      <c r="C28" s="10" t="n">
        <f aca="false">Closure!B18</f>
        <v>0.404095303528488</v>
      </c>
      <c r="D28" s="10" t="n">
        <f aca="false">ROUND(C28-B28,6)</f>
        <v>0</v>
      </c>
      <c r="E28" s="11" t="str">
        <f aca="false">IF(ISNUMBER(C28),IF(ABS(D28)&lt;IF(ABS(B28)&lt;10,0.0000005,0.005),"PASS","CHECK"),"CHECK")</f>
        <v>PASS</v>
      </c>
    </row>
    <row r="29" customFormat="false" ht="15" hidden="false" customHeight="false" outlineLevel="0" collapsed="false">
      <c r="A29" s="24" t="s">
        <v>166</v>
      </c>
      <c r="B29" s="9" t="n">
        <v>43694779.1164659</v>
      </c>
      <c r="C29" s="9" t="n">
        <f aca="false">Closure!B21</f>
        <v>43694779.1164659</v>
      </c>
      <c r="D29" s="9" t="n">
        <f aca="false">ROUND(C29-B29,6)</f>
        <v>0</v>
      </c>
      <c r="E29" s="11" t="str">
        <f aca="false">IF(ISNUMBER(C29),IF(ABS(D29)&lt;IF(ABS(B29)&lt;10,0.0000005,0.005),"PASS","CHECK"),"CHECK")</f>
        <v>PASS</v>
      </c>
    </row>
    <row r="30" customFormat="false" ht="15" hidden="false" customHeight="false" outlineLevel="0" collapsed="false">
      <c r="A30" s="24" t="s">
        <v>167</v>
      </c>
      <c r="B30" s="9" t="n">
        <v>19085255.3069421</v>
      </c>
      <c r="C30" s="9" t="n">
        <f aca="false">Closure!B22</f>
        <v>19085255.3069421</v>
      </c>
      <c r="D30" s="9" t="n">
        <f aca="false">ROUND(C30-B30,6)</f>
        <v>0</v>
      </c>
      <c r="E30" s="11" t="str">
        <f aca="false">IF(ISNUMBER(C30),IF(ABS(D30)&lt;IF(ABS(B30)&lt;10,0.0000005,0.005),"PASS","CHECK"),"CHECK")</f>
        <v>PASS</v>
      </c>
    </row>
    <row r="31" customFormat="false" ht="15" hidden="false" customHeight="false" outlineLevel="0" collapsed="false">
      <c r="A31" s="24" t="s">
        <v>168</v>
      </c>
      <c r="B31" s="9" t="n">
        <v>8869030.40734366</v>
      </c>
      <c r="C31" s="9" t="n">
        <f aca="false">Closure!B24</f>
        <v>8869030.40734366</v>
      </c>
      <c r="D31" s="9" t="n">
        <f aca="false">ROUND(C31-B31,6)</f>
        <v>0</v>
      </c>
      <c r="E31" s="11" t="str">
        <f aca="false">IF(ISNUMBER(C31),IF(ABS(D31)&lt;IF(ABS(B31)&lt;10,0.0000005,0.005),"PASS","CHECK"),"CHECK")</f>
        <v>PASS</v>
      </c>
    </row>
    <row r="32" customFormat="false" ht="15" hidden="false" customHeight="false" outlineLevel="0" collapsed="false">
      <c r="A32" s="24" t="s">
        <v>169</v>
      </c>
      <c r="B32" s="10" t="n">
        <v>0.682730923694779</v>
      </c>
      <c r="C32" s="10" t="n">
        <f aca="false">Closure!B25</f>
        <v>0.682730923694779</v>
      </c>
      <c r="D32" s="10" t="n">
        <f aca="false">ROUND(C32-B32,6)</f>
        <v>0</v>
      </c>
      <c r="E32" s="11" t="str">
        <f aca="false">IF(ISNUMBER(C32),IF(ABS(D32)&lt;IF(ABS(B32)&lt;10,0.0000005,0.005),"PASS","CHECK"),"CHECK")</f>
        <v>PASS</v>
      </c>
    </row>
    <row r="33" customFormat="false" ht="15" hidden="false" customHeight="false" outlineLevel="0" collapsed="false">
      <c r="A33" s="24" t="s">
        <v>170</v>
      </c>
      <c r="B33" s="18" t="n">
        <v>2.38754325259516</v>
      </c>
      <c r="C33" s="18" t="n">
        <f aca="false">Closure!B19</f>
        <v>2.38754325259516</v>
      </c>
      <c r="D33" s="18" t="n">
        <f aca="false">ROUND(C33-B33,6)</f>
        <v>0</v>
      </c>
      <c r="E33" s="11" t="str">
        <f aca="false">IF(ISNUMBER(C33),IF(ABS(D33)&lt;IF(ABS(B33)&lt;10,0.0000005,0.005),"PASS","CHECK"),"CHECK")</f>
        <v>PASS</v>
      </c>
    </row>
    <row r="34" customFormat="false" ht="15" hidden="false" customHeight="false" outlineLevel="0" collapsed="false">
      <c r="A34" s="24" t="s">
        <v>171</v>
      </c>
      <c r="B34" s="9" t="n">
        <v>6951.66666666667</v>
      </c>
      <c r="C34" s="9" t="n">
        <f aca="false">Discount!B6</f>
        <v>6951.66666666667</v>
      </c>
      <c r="D34" s="9" t="n">
        <f aca="false">ROUND(C34-B34,6)</f>
        <v>0</v>
      </c>
      <c r="E34" s="11" t="str">
        <f aca="false">IF(ISNUMBER(C34),IF(ABS(D34)&lt;IF(ABS(B34)&lt;10,0.0000005,0.005),"PASS","CHECK"),"CHECK")</f>
        <v>PASS</v>
      </c>
    </row>
    <row r="35" customFormat="false" ht="15" hidden="false" customHeight="false" outlineLevel="0" collapsed="false">
      <c r="A35" s="24" t="s">
        <v>172</v>
      </c>
      <c r="B35" s="9" t="n">
        <v>10076.6666666667</v>
      </c>
      <c r="C35" s="9" t="n">
        <f aca="false">Discount!B28</f>
        <v>10076.6666666667</v>
      </c>
      <c r="D35" s="9" t="n">
        <f aca="false">ROUND(C35-B35,6)</f>
        <v>0</v>
      </c>
      <c r="E35" s="11" t="str">
        <f aca="false">IF(ISNUMBER(C35),IF(ABS(D35)&lt;IF(ABS(B35)&lt;10,0.0000005,0.005),"PASS","CHECK"),"CHECK")</f>
        <v>PASS</v>
      </c>
    </row>
    <row r="36" customFormat="false" ht="15" hidden="false" customHeight="false" outlineLevel="0" collapsed="false">
      <c r="A36" s="24" t="s">
        <v>117</v>
      </c>
      <c r="B36" s="9" t="n">
        <v>75000000</v>
      </c>
      <c r="C36" s="9" t="n">
        <f aca="false">Discount!B29</f>
        <v>75000000</v>
      </c>
      <c r="D36" s="9" t="n">
        <f aca="false">ROUND(C36-B36,6)</f>
        <v>0</v>
      </c>
      <c r="E36" s="11" t="str">
        <f aca="false">IF(ISNUMBER(C36),IF(ABS(D36)&lt;IF(ABS(B36)&lt;10,0.0000005,0.005),"PASS","CHECK"),"CHECK")</f>
        <v>PASS</v>
      </c>
    </row>
    <row r="37" customFormat="false" ht="15" hidden="false" customHeight="false" outlineLevel="0" collapsed="false">
      <c r="A37" s="24" t="s">
        <v>173</v>
      </c>
      <c r="B37" s="18" t="n">
        <v>5</v>
      </c>
      <c r="C37" s="18" t="n">
        <f aca="false">Discount!B27</f>
        <v>5</v>
      </c>
      <c r="D37" s="18" t="n">
        <f aca="false">ROUND(C37-B37,6)</f>
        <v>0</v>
      </c>
      <c r="E37" s="11" t="str">
        <f aca="false">IF(ISNUMBER(C37),IF(ABS(D37)&lt;IF(ABS(B37)&lt;10,0.0000005,0.005),"PASS","CHECK"),"CHECK")</f>
        <v>PASS</v>
      </c>
    </row>
    <row r="38" customFormat="false" ht="15" hidden="false" customHeight="false" outlineLevel="0" collapsed="false">
      <c r="A38" s="24" t="s">
        <v>118</v>
      </c>
      <c r="B38" s="9" t="n">
        <v>481.666666666667</v>
      </c>
      <c r="C38" s="9" t="n">
        <f aca="false">Discount!B30</f>
        <v>481.666666666667</v>
      </c>
      <c r="D38" s="9" t="n">
        <f aca="false">ROUND(C38-B38,6)</f>
        <v>0</v>
      </c>
      <c r="E38" s="11" t="str">
        <f aca="false">IF(ISNUMBER(C38),IF(ABS(D38)&lt;IF(ABS(B38)&lt;10,0.0000005,0.005),"PASS","CHECK"),"CHECK")</f>
        <v>PASS</v>
      </c>
    </row>
    <row r="39" customFormat="false" ht="15" hidden="false" customHeight="false" outlineLevel="0" collapsed="false">
      <c r="A39" s="24" t="s">
        <v>174</v>
      </c>
      <c r="B39" s="10" t="n">
        <v>0.575401582354352</v>
      </c>
      <c r="C39" s="10" t="n">
        <f aca="false">Discount!B32</f>
        <v>0.575401582354352</v>
      </c>
      <c r="D39" s="10" t="n">
        <f aca="false">ROUND(C39-B39,6)</f>
        <v>0</v>
      </c>
      <c r="E39" s="11" t="str">
        <f aca="false">IF(ISNUMBER(C39),IF(ABS(D39)&lt;IF(ABS(B39)&lt;10,0.0000005,0.005),"PASS","CHECK"),"CHECK")</f>
        <v>PASS</v>
      </c>
    </row>
    <row r="40" customFormat="false" ht="15" hidden="false" customHeight="false" outlineLevel="0" collapsed="false">
      <c r="A40" s="24" t="s">
        <v>175</v>
      </c>
      <c r="B40" s="9" t="n">
        <v>-4268700</v>
      </c>
      <c r="C40" s="9" t="n">
        <f aca="false">Discount!B10</f>
        <v>-4268700</v>
      </c>
      <c r="D40" s="9" t="n">
        <f aca="false">ROUND(C40-B40,6)</f>
        <v>0</v>
      </c>
      <c r="E40" s="11" t="str">
        <f aca="false">IF(ISNUMBER(C40),IF(ABS(D40)&lt;IF(ABS(B40)&lt;10,0.0000005,0.005),"PASS","CHECK"),"CHECK")</f>
        <v>PASS</v>
      </c>
    </row>
    <row r="41" customFormat="false" ht="15" hidden="false" customHeight="false" outlineLevel="0" collapsed="false">
      <c r="A41" s="24" t="s">
        <v>176</v>
      </c>
      <c r="B41" s="9" t="n">
        <v>-3706200</v>
      </c>
      <c r="C41" s="9" t="n">
        <f aca="false">Discount!B35</f>
        <v>-3706200</v>
      </c>
      <c r="D41" s="9" t="n">
        <f aca="false">ROUND(C41-B41,6)</f>
        <v>0</v>
      </c>
      <c r="E41" s="11" t="str">
        <f aca="false">IF(ISNUMBER(C41),IF(ABS(D41)&lt;IF(ABS(B41)&lt;10,0.0000005,0.005),"PASS","CHECK"),"CHECK")</f>
        <v>PASS</v>
      </c>
    </row>
    <row r="42" customFormat="false" ht="15" hidden="false" customHeight="false" outlineLevel="0" collapsed="false">
      <c r="A42" s="24" t="s">
        <v>177</v>
      </c>
      <c r="B42" s="20" t="n">
        <v>4.41141213138336</v>
      </c>
      <c r="C42" s="20" t="n">
        <f aca="false">Discount!B11</f>
        <v>4.41141213138336</v>
      </c>
      <c r="D42" s="20" t="n">
        <f aca="false">ROUND(C42-B42,6)</f>
        <v>0</v>
      </c>
      <c r="E42" s="11" t="str">
        <f aca="false">IF(ISNUMBER(C42),IF(ABS(D42)&lt;IF(ABS(B42)&lt;10,0.0000005,0.005),"PASS","CHECK"),"CHECK")</f>
        <v>PASS</v>
      </c>
    </row>
    <row r="43" customFormat="false" ht="15" hidden="false" customHeight="false" outlineLevel="0" collapsed="false">
      <c r="A43" s="24" t="s">
        <v>124</v>
      </c>
      <c r="B43" s="20" t="n">
        <v>3.04333443599074</v>
      </c>
      <c r="C43" s="20" t="n">
        <f aca="false">Discount!B36</f>
        <v>3.04333443599074</v>
      </c>
      <c r="D43" s="20" t="n">
        <f aca="false">ROUND(C43-B43,6)</f>
        <v>0</v>
      </c>
      <c r="E43" s="11" t="str">
        <f aca="false">IF(ISNUMBER(C43),IF(ABS(D43)&lt;IF(ABS(B43)&lt;10,0.0000005,0.005),"PASS","CHECK"),"CHECK")</f>
        <v>PASS</v>
      </c>
    </row>
    <row r="44" customFormat="false" ht="15" hidden="false" customHeight="false" outlineLevel="0" collapsed="false">
      <c r="A44" s="24" t="s">
        <v>178</v>
      </c>
      <c r="B44" s="23" t="n">
        <v>63.5243346919204</v>
      </c>
      <c r="C44" s="23" t="n">
        <f aca="false">Discount!B37</f>
        <v>63.5243346919204</v>
      </c>
      <c r="D44" s="23" t="n">
        <f aca="false">ROUND(C44-B44,6)</f>
        <v>0</v>
      </c>
      <c r="E44" s="11" t="str">
        <f aca="false">IF(ISNUMBER(C44),IF(ABS(D44)&lt;IF(ABS(B44)&lt;10,0.0000005,0.005),"PASS","CHECK"),"CHECK")</f>
        <v>PASS</v>
      </c>
    </row>
    <row r="45" customFormat="false" ht="15" hidden="false" customHeight="false" outlineLevel="0" collapsed="false">
      <c r="A45" s="24" t="s">
        <v>104</v>
      </c>
      <c r="B45" s="9" t="n">
        <v>15641250</v>
      </c>
      <c r="C45" s="9" t="n">
        <f aca="false">Discount!B13</f>
        <v>15641250</v>
      </c>
      <c r="D45" s="9" t="n">
        <f aca="false">ROUND(C45-B45,6)</f>
        <v>0</v>
      </c>
      <c r="E45" s="11" t="str">
        <f aca="false">IF(ISNUMBER(C45),IF(ABS(D45)&lt;IF(ABS(B45)&lt;10,0.0000005,0.005),"PASS","CHECK"),"CHECK")</f>
        <v>PASS</v>
      </c>
    </row>
    <row r="46" customFormat="false" ht="15" hidden="false" customHeight="false" outlineLevel="0" collapsed="false">
      <c r="A46" s="24" t="s">
        <v>105</v>
      </c>
      <c r="B46" s="18" t="n">
        <v>2.8335597826087</v>
      </c>
      <c r="C46" s="18" t="n">
        <f aca="false">Discount!B14</f>
        <v>2.8335597826087</v>
      </c>
      <c r="D46" s="18" t="n">
        <f aca="false">ROUND(C46-B46,6)</f>
        <v>0</v>
      </c>
      <c r="E46" s="11" t="str">
        <f aca="false">IF(ISNUMBER(C46),IF(ABS(D46)&lt;IF(ABS(B46)&lt;10,0.0000005,0.005),"PASS","CHECK"),"CHECK")</f>
        <v>PASS</v>
      </c>
    </row>
    <row r="47" customFormat="false" ht="15" hidden="false" customHeight="false" outlineLevel="0" collapsed="false">
      <c r="A47" s="24" t="s">
        <v>179</v>
      </c>
      <c r="B47" s="10" t="n">
        <v>0.647087029489331</v>
      </c>
      <c r="C47" s="10" t="n">
        <f aca="false">Discount!B16</f>
        <v>0.647087029489331</v>
      </c>
      <c r="D47" s="10" t="n">
        <f aca="false">ROUND(C47-B47,6)</f>
        <v>0</v>
      </c>
      <c r="E47" s="11" t="str">
        <f aca="false">IF(ISNUMBER(C47),IF(ABS(D47)&lt;IF(ABS(B47)&lt;10,0.0000005,0.005),"PASS","CHECK"),"CHECK")</f>
        <v>PASS</v>
      </c>
    </row>
    <row r="48" customFormat="false" ht="15" hidden="false" customHeight="false" outlineLevel="0" collapsed="false">
      <c r="A48" s="24" t="s">
        <v>180</v>
      </c>
      <c r="B48" s="9" t="n">
        <v>8711518.51081746</v>
      </c>
      <c r="C48" s="9" t="n">
        <f aca="false">Discount!B19</f>
        <v>8711518.51081746</v>
      </c>
      <c r="D48" s="9" t="n">
        <f aca="false">ROUND(C48-B48,6)</f>
        <v>0</v>
      </c>
      <c r="E48" s="11" t="str">
        <f aca="false">IF(ISNUMBER(C48),IF(ABS(D48)&lt;IF(ABS(B48)&lt;10,0.0000005,0.005),"PASS","CHECK"),"CHECK")</f>
        <v>PASS</v>
      </c>
    </row>
    <row r="49" customFormat="false" ht="15" hidden="false" customHeight="false" outlineLevel="0" collapsed="false">
      <c r="A49" s="24" t="s">
        <v>181</v>
      </c>
      <c r="B49" s="18" t="n">
        <v>1.57817364326403</v>
      </c>
      <c r="C49" s="18" t="n">
        <f aca="false">Discount!B20</f>
        <v>1.57817364326403</v>
      </c>
      <c r="D49" s="18" t="n">
        <f aca="false">ROUND(C49-B49,6)</f>
        <v>0</v>
      </c>
      <c r="E49" s="11" t="str">
        <f aca="false">IF(ISNUMBER(C49),IF(ABS(D49)&lt;IF(ABS(B49)&lt;10,0.0000005,0.005),"PASS","CHECK"),"CHECK")</f>
        <v>PASS</v>
      </c>
    </row>
    <row r="50" customFormat="false" ht="15" hidden="false" customHeight="false" outlineLevel="0" collapsed="false">
      <c r="A50" s="24" t="s">
        <v>182</v>
      </c>
      <c r="B50" s="10" t="n">
        <v>0.204547571137329</v>
      </c>
      <c r="C50" s="10" t="n">
        <f aca="false">Discount!B22</f>
        <v>0.204547571137329</v>
      </c>
      <c r="D50" s="10" t="n">
        <f aca="false">ROUND(C50-B50,6)</f>
        <v>0</v>
      </c>
      <c r="E50" s="11" t="str">
        <f aca="false">IF(ISNUMBER(C50),IF(ABS(D50)&lt;IF(ABS(B50)&lt;10,0.0000005,0.005),"PASS","CHECK"),"CHECK")</f>
        <v>PASS</v>
      </c>
    </row>
    <row r="51" customFormat="false" ht="15" hidden="false" customHeight="false" outlineLevel="0" collapsed="false">
      <c r="A51" s="24" t="s">
        <v>183</v>
      </c>
      <c r="B51" s="9" t="n">
        <v>-4182000</v>
      </c>
      <c r="C51" s="9" t="n">
        <f aca="false">Discount!B41</f>
        <v>-4182000</v>
      </c>
      <c r="D51" s="9" t="n">
        <f aca="false">ROUND(C51-B51,6)</f>
        <v>0</v>
      </c>
      <c r="E51" s="11" t="str">
        <f aca="false">IF(ISNUMBER(C51),IF(ABS(D51)&lt;IF(ABS(B51)&lt;10,0.0000005,0.005),"PASS","CHECK"),"CHECK")</f>
        <v>PASS</v>
      </c>
    </row>
    <row r="52" customFormat="false" ht="15" hidden="false" customHeight="false" outlineLevel="0" collapsed="false">
      <c r="A52" s="24" t="s">
        <v>184</v>
      </c>
      <c r="B52" s="9" t="n">
        <v>1593000</v>
      </c>
      <c r="C52" s="9" t="n">
        <f aca="false">Discount!B43</f>
        <v>1593000</v>
      </c>
      <c r="D52" s="9" t="n">
        <f aca="false">ROUND(C52-B52,6)</f>
        <v>0</v>
      </c>
      <c r="E52" s="11" t="str">
        <f aca="false">IF(ISNUMBER(C52),IF(ABS(D52)&lt;IF(ABS(B52)&lt;10,0.0000005,0.005),"PASS","CHECK"),"CHECK")</f>
        <v>PASS</v>
      </c>
    </row>
    <row r="53" customFormat="false" ht="15" hidden="false" customHeight="false" outlineLevel="0" collapsed="false">
      <c r="A53" s="24" t="s">
        <v>185</v>
      </c>
      <c r="B53" s="10" t="n">
        <v>0.1503020263928</v>
      </c>
      <c r="C53" s="10" t="n">
        <f aca="false">Discount!B46</f>
        <v>0.1503020263928</v>
      </c>
      <c r="D53" s="10" t="n">
        <f aca="false">ROUND(C53-B53,6)</f>
        <v>0</v>
      </c>
      <c r="E53" s="11" t="str">
        <f aca="false">IF(ISNUMBER(C53),IF(ABS(D53)&lt;IF(ABS(B53)&lt;10,0.0000005,0.005),"PASS","CHECK"),"CHECK")</f>
        <v>PASS</v>
      </c>
    </row>
    <row r="54" customFormat="false" ht="15" hidden="false" customHeight="false" outlineLevel="0" collapsed="false">
      <c r="A54" s="24" t="s">
        <v>186</v>
      </c>
      <c r="B54" s="14" t="n">
        <v>1920</v>
      </c>
      <c r="C54" s="14" t="n">
        <f aca="false">Drivers!B6</f>
        <v>1920</v>
      </c>
      <c r="D54" s="14" t="n">
        <f aca="false">ROUND(C54-B54,6)</f>
        <v>0</v>
      </c>
      <c r="E54" s="11" t="str">
        <f aca="false">IF(ISNUMBER(C54),IF(ABS(D54)&lt;IF(ABS(B54)&lt;10,0.0000005,0.005),"PASS","CHECK"),"CHECK")</f>
        <v>PASS</v>
      </c>
    </row>
    <row r="55" customFormat="false" ht="15" hidden="false" customHeight="false" outlineLevel="0" collapsed="false">
      <c r="A55" s="24" t="s">
        <v>187</v>
      </c>
      <c r="B55" s="14" t="n">
        <v>26880</v>
      </c>
      <c r="C55" s="14" t="n">
        <f aca="false">Drivers!B9</f>
        <v>26880</v>
      </c>
      <c r="D55" s="14" t="n">
        <f aca="false">ROUND(C55-B55,6)</f>
        <v>0</v>
      </c>
      <c r="E55" s="11" t="str">
        <f aca="false">IF(ISNUMBER(C55),IF(ABS(D55)&lt;IF(ABS(B55)&lt;10,0.0000005,0.005),"PASS","CHECK"),"CHECK")</f>
        <v>PASS</v>
      </c>
    </row>
    <row r="56" customFormat="false" ht="15" hidden="false" customHeight="false" outlineLevel="0" collapsed="false">
      <c r="A56" s="24" t="s">
        <v>188</v>
      </c>
      <c r="B56" s="9" t="n">
        <v>271999920</v>
      </c>
      <c r="C56" s="9" t="n">
        <f aca="false">Drivers!B12</f>
        <v>271999920</v>
      </c>
      <c r="D56" s="9" t="n">
        <f aca="false">ROUND(C56-B56,6)</f>
        <v>0</v>
      </c>
      <c r="E56" s="11" t="str">
        <f aca="false">IF(ISNUMBER(C56),IF(ABS(D56)&lt;IF(ABS(B56)&lt;10,0.0000005,0.005),"PASS","CHECK"),"CHECK")</f>
        <v>PASS</v>
      </c>
    </row>
    <row r="57" customFormat="false" ht="15" hidden="false" customHeight="false" outlineLevel="0" collapsed="false">
      <c r="A57" s="24" t="s">
        <v>189</v>
      </c>
      <c r="B57" s="9" t="n">
        <v>126400080</v>
      </c>
      <c r="C57" s="9" t="n">
        <f aca="false">Drivers!B13</f>
        <v>126400080</v>
      </c>
      <c r="D57" s="9" t="n">
        <f aca="false">ROUND(C57-B57,6)</f>
        <v>0</v>
      </c>
      <c r="E57" s="11" t="str">
        <f aca="false">IF(ISNUMBER(C57),IF(ABS(D57)&lt;IF(ABS(B57)&lt;10,0.0000005,0.005),"PASS","CHECK"),"CHECK")</f>
        <v>PASS</v>
      </c>
    </row>
    <row r="58" customFormat="false" ht="15" hidden="false" customHeight="false" outlineLevel="0" collapsed="false">
      <c r="A58" s="24" t="s">
        <v>190</v>
      </c>
      <c r="B58" s="10" t="n">
        <v>0.4</v>
      </c>
      <c r="C58" s="10" t="n">
        <f aca="false">Drivers!B14</f>
        <v>0.4</v>
      </c>
      <c r="D58" s="10" t="n">
        <f aca="false">ROUND(C58-B58,6)</f>
        <v>0</v>
      </c>
      <c r="E58" s="11" t="str">
        <f aca="false">IF(ISNUMBER(C58),IF(ABS(D58)&lt;IF(ABS(B58)&lt;10,0.0000005,0.005),"PASS","CHECK"),"CHECK")</f>
        <v>PASS</v>
      </c>
    </row>
    <row r="59" customFormat="false" ht="15" hidden="false" customHeight="false" outlineLevel="0" collapsed="false">
      <c r="A59" s="24" t="s">
        <v>191</v>
      </c>
      <c r="B59" s="9" t="n">
        <v>24184000</v>
      </c>
      <c r="C59" s="9" t="n">
        <f aca="false">Drivers!B21</f>
        <v>24184000</v>
      </c>
      <c r="D59" s="9" t="n">
        <f aca="false">ROUND(C59-B59,6)</f>
        <v>0</v>
      </c>
      <c r="E59" s="11" t="str">
        <f aca="false">IF(ISNUMBER(C59),IF(ABS(D59)&lt;IF(ABS(B59)&lt;10,0.0000005,0.005),"PASS","CHECK"),"CHECK")</f>
        <v>PASS</v>
      </c>
    </row>
    <row r="60" customFormat="false" ht="15" hidden="false" customHeight="false" outlineLevel="0" collapsed="false">
      <c r="A60" s="24" t="s">
        <v>192</v>
      </c>
      <c r="B60" s="10" t="n">
        <v>0.259618687736173</v>
      </c>
      <c r="C60" s="10" t="n">
        <f aca="false">Drivers!B22</f>
        <v>0.259618687736173</v>
      </c>
      <c r="D60" s="10" t="n">
        <f aca="false">ROUND(C60-B60,6)</f>
        <v>0</v>
      </c>
      <c r="E60" s="11" t="str">
        <f aca="false">IF(ISNUMBER(C60),IF(ABS(D60)&lt;IF(ABS(B60)&lt;10,0.0000005,0.005),"PASS","CHECK"),"CHECK")</f>
        <v>PASS</v>
      </c>
    </row>
    <row r="61" customFormat="false" ht="15" hidden="false" customHeight="false" outlineLevel="0" collapsed="false">
      <c r="A61" s="24" t="s">
        <v>193</v>
      </c>
      <c r="B61" s="9" t="n">
        <v>39840000</v>
      </c>
      <c r="C61" s="9" t="n">
        <f aca="false">Drivers!B23</f>
        <v>39840000</v>
      </c>
      <c r="D61" s="9" t="n">
        <f aca="false">ROUND(C61-B61,6)</f>
        <v>0</v>
      </c>
      <c r="E61" s="11" t="str">
        <f aca="false">IF(ISNUMBER(C61),IF(ABS(D61)&lt;IF(ABS(B61)&lt;10,0.0000005,0.005),"PASS","CHECK"),"CHECK")</f>
        <v>PASS</v>
      </c>
    </row>
    <row r="62" customFormat="false" ht="15" hidden="false" customHeight="false" outlineLevel="0" collapsed="false">
      <c r="A62" s="24" t="s">
        <v>194</v>
      </c>
      <c r="B62" s="9" t="n">
        <v>5257142.85714286</v>
      </c>
      <c r="C62" s="9" t="n">
        <f aca="false">Drivers!B26</f>
        <v>5257142.85714286</v>
      </c>
      <c r="D62" s="9" t="n">
        <f aca="false">ROUND(C62-B62,6)</f>
        <v>0</v>
      </c>
      <c r="E62" s="11" t="str">
        <f aca="false">IF(ISNUMBER(C62),IF(ABS(D62)&lt;IF(ABS(B62)&lt;10,0.0000005,0.005),"PASS","CHECK"),"CHECK")</f>
        <v>PASS</v>
      </c>
    </row>
    <row r="63" customFormat="false" ht="15" hidden="false" customHeight="false" outlineLevel="0" collapsed="false">
      <c r="A63" s="24" t="s">
        <v>195</v>
      </c>
      <c r="B63" s="9" t="n">
        <v>1682285.71428571</v>
      </c>
      <c r="C63" s="9" t="n">
        <f aca="false">Drivers!B27</f>
        <v>1682285.71428571</v>
      </c>
      <c r="D63" s="9" t="n">
        <f aca="false">ROUND(C63-B63,6)</f>
        <v>0</v>
      </c>
      <c r="E63" s="11" t="str">
        <f aca="false">IF(ISNUMBER(C63),IF(ABS(D63)&lt;IF(ABS(B63)&lt;10,0.0000005,0.005),"PASS","CHECK"),"CHECK")</f>
        <v>PASS</v>
      </c>
    </row>
    <row r="64" customFormat="false" ht="15" hidden="false" customHeight="false" outlineLevel="0" collapsed="false">
      <c r="A64" s="24" t="s">
        <v>196</v>
      </c>
      <c r="B64" s="9" t="n">
        <v>1682285.72</v>
      </c>
      <c r="C64" s="9" t="n">
        <f aca="false">Drivers!B28</f>
        <v>1682285.7152</v>
      </c>
      <c r="D64" s="9" t="n">
        <f aca="false">ROUND(C64-B64,6)</f>
        <v>-0.0048</v>
      </c>
      <c r="E64" s="11" t="str">
        <f aca="false">IF(ISNUMBER(C64),IF(ABS(D64)&lt;IF(ABS(B64)&lt;10,0.0000005,0.005),"PASS","CHECK"),"CHECK")</f>
        <v>PASS</v>
      </c>
    </row>
    <row r="66" customFormat="false" ht="15" hidden="false" customHeight="false" outlineLevel="0" collapsed="false">
      <c r="A66" s="11" t="s">
        <v>197</v>
      </c>
      <c r="D66" s="11" t="str">
        <f aca="false">COUNTIF(E5:E64,"PASS")&amp;" / 60"</f>
        <v>60 / 60</v>
      </c>
      <c r="E66" s="11" t="str">
        <f aca="false">IF(COUNTIF(E5:E64,"PASS")=60,"ALL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2026-09-08T23:01:43Z</dcterms:created>
  <dc:creator>openpyxl</dc:creator>
  <dc:description/>
  <dc:language>en-US</dc:language>
  <cp:lastModifiedBy/>
  <dcterms:modified xsi:type="dcterms:W3CDTF">2026-09-24T01:50:44Z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