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omparisons" sheetId="2" state="visible" r:id="rId4"/>
    <sheet name="Phasing" sheetId="3" state="visible" r:id="rId5"/>
    <sheet name="Budget Cost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<sst xmlns="http://schemas.openxmlformats.org/spreadsheetml/2006/main" count="131" uniqueCount="128">
  <si>
    <t xml:space="preserve">The Five Comparisons - Inputs</t>
  </si>
  <si>
    <t xml:space="preserve">Blue cells are inputs. The yellow cell is the figure every comparison is made against.</t>
  </si>
  <si>
    <t xml:space="preserve">Third-quarter actual revenue</t>
  </si>
  <si>
    <t xml:space="preserve">The five comparators</t>
  </si>
  <si>
    <t xml:space="preserve">Budget</t>
  </si>
  <si>
    <t xml:space="preserve">Did we do what we told ourselves in November</t>
  </si>
  <si>
    <t xml:space="preserve">Prior year, same quarter</t>
  </si>
  <si>
    <t xml:space="preserve">Is the business bigger than it was</t>
  </si>
  <si>
    <t xml:space="preserve">Latest forecast (July)</t>
  </si>
  <si>
    <t xml:space="preserve">Did we know what was coming</t>
  </si>
  <si>
    <t xml:space="preserve">Preceding quarter</t>
  </si>
  <si>
    <t xml:space="preserve">Is it getting better or worse</t>
  </si>
  <si>
    <t xml:space="preserve">Underwriting plan</t>
  </si>
  <si>
    <t xml:space="preserve">Are we worth what the owners paid</t>
  </si>
  <si>
    <t xml:space="preserve">The same quarter, read five ways</t>
  </si>
  <si>
    <t xml:space="preserve">Every reading is correct. Each answers a different question.</t>
  </si>
  <si>
    <t xml:space="preserve">Comparison</t>
  </si>
  <si>
    <t xml:space="preserve">Base</t>
  </si>
  <si>
    <t xml:space="preserve">Actual</t>
  </si>
  <si>
    <t xml:space="preserve">Variance</t>
  </si>
  <si>
    <t xml:space="preserve">Per cent</t>
  </si>
  <si>
    <t xml:space="preserve">Reads</t>
  </si>
  <si>
    <t xml:space="preserve">Best reading</t>
  </si>
  <si>
    <t xml:space="preserve">Worst reading</t>
  </si>
  <si>
    <t xml:space="preserve">Spread between them</t>
  </si>
  <si>
    <t xml:space="preserve">Comparisons that read favourable</t>
  </si>
  <si>
    <t xml:space="preserve">Spread in money: the best variance less the worst</t>
  </si>
  <si>
    <t xml:space="preserve">The July forecast's gap on the actual (the base Chapter 11 uses)</t>
  </si>
  <si>
    <t xml:space="preserve">The budget's own step from the second quarter to the third</t>
  </si>
  <si>
    <t xml:space="preserve">The same step in the prior year</t>
  </si>
  <si>
    <t xml:space="preserve">The sequential reading against that range</t>
  </si>
  <si>
    <t xml:space="preserve">The three documents, quarter by quarter</t>
  </si>
  <si>
    <t xml:space="preserve">Where the budget and the underwriting plan diverge across the year, not only in the third quarter.</t>
  </si>
  <si>
    <t xml:space="preserve">Quarter</t>
  </si>
  <si>
    <t xml:space="preserve">Plan less budget</t>
  </si>
  <si>
    <t xml:space="preserve">Prior year</t>
  </si>
  <si>
    <t xml:space="preserve">Budget less prior year</t>
  </si>
  <si>
    <t xml:space="preserve">Actual (Q4: reforecast)</t>
  </si>
  <si>
    <t xml:space="preserve">Q1</t>
  </si>
  <si>
    <t xml:space="preserve">Q2</t>
  </si>
  <si>
    <t xml:space="preserve">Q3</t>
  </si>
  <si>
    <t xml:space="preserve">Q4</t>
  </si>
  <si>
    <t xml:space="preserve">the reforecast submitted on the third quarter (Chapter 10)</t>
  </si>
  <si>
    <t xml:space="preserve">Year</t>
  </si>
  <si>
    <t xml:space="preserve">Budget as a share of the plan</t>
  </si>
  <si>
    <t xml:space="preserve">Plan growth on the prior year</t>
  </si>
  <si>
    <t xml:space="preserve">Budget growth on the prior year</t>
  </si>
  <si>
    <t xml:space="preserve">Nine months, and the year (Chapters 7 and 8)</t>
  </si>
  <si>
    <t xml:space="preserve">Budget, first three quarters</t>
  </si>
  <si>
    <t xml:space="preserve">Underwriting plan, first three quarters</t>
  </si>
  <si>
    <t xml:space="preserve">Prior year, first three quarters</t>
  </si>
  <si>
    <t xml:space="preserve">Actual, first three quarters</t>
  </si>
  <si>
    <t xml:space="preserve">Actual less budget</t>
  </si>
  <si>
    <t xml:space="preserve">Actual less the plan</t>
  </si>
  <si>
    <t xml:space="preserve">Shortfall against the plan, per cent of the plan</t>
  </si>
  <si>
    <t xml:space="preserve">Actual less the prior year</t>
  </si>
  <si>
    <t xml:space="preserve">Plan-to-budget gap for three quarters, less the budget variance</t>
  </si>
  <si>
    <t xml:space="preserve">Full year on the reforecast</t>
  </si>
  <si>
    <t xml:space="preserve">Reforecast less budget</t>
  </si>
  <si>
    <t xml:space="preserve">Plan less reforecast</t>
  </si>
  <si>
    <t xml:space="preserve">Fourth quarter: plan less reforecast</t>
  </si>
  <si>
    <t xml:space="preserve">Third quarter: the budget reading and the plan reading are this far apart</t>
  </si>
  <si>
    <t xml:space="preserve">The three quarters budgeted below the prior year, together</t>
  </si>
  <si>
    <t xml:space="preserve">What the budget cycle costs (Chapter 12)</t>
  </si>
  <si>
    <t xml:space="preserve">The headcount, the days and the loaded rate are the company's estimates, not measurements. Change them and everything below moves in a straight line.</t>
  </si>
  <si>
    <t xml:space="preserve">People who submit or review a budget line</t>
  </si>
  <si>
    <t xml:space="preserve">Working days each, across the cycle</t>
  </si>
  <si>
    <t xml:space="preserve">Fully loaded cost a day</t>
  </si>
  <si>
    <t xml:space="preserve">Weeks from first submission to board approval</t>
  </si>
  <si>
    <t xml:space="preserve">Budget EBIT, full year</t>
  </si>
  <si>
    <t xml:space="preserve">Budget revenue, full year</t>
  </si>
  <si>
    <t xml:space="preserve">Adverse EBIT variance of the third quarter</t>
  </si>
  <si>
    <t xml:space="preserve">Gross profit put at risk by the platform slip (Chapter 6)</t>
  </si>
  <si>
    <t xml:space="preserve">on an assumed one-quarter slip: Price_Volume_and_Mix, sheet Opex</t>
  </si>
  <si>
    <t xml:space="preserve">Working days, all participants</t>
  </si>
  <si>
    <t xml:space="preserve">Cost of the cycle</t>
  </si>
  <si>
    <t xml:space="preserve">Per cent of budget EBIT</t>
  </si>
  <si>
    <t xml:space="preserve">For every million of revenue planned</t>
  </si>
  <si>
    <t xml:space="preserve">Half a working day either way, across the same people</t>
  </si>
  <si>
    <t xml:space="preserve">A loaded rate wrong by a tenth</t>
  </si>
  <si>
    <t xml:space="preserve">Share of the third quarter's EBIT variance</t>
  </si>
  <si>
    <t xml:space="preserve">The platform exposure of Chapter 6, as a multiple of the cycle</t>
  </si>
  <si>
    <t xml:space="preserve">Share of the calendar the cycle occupies</t>
  </si>
  <si>
    <t xml:space="preserve">Working days in the elapsed weeks</t>
  </si>
  <si>
    <t xml:space="preserve">Share of the period each participant spends on it</t>
  </si>
  <si>
    <t xml:space="preserve">One more submission round, if it takes a day of each participant</t>
  </si>
  <si>
    <t xml:space="preserve">Checks</t>
  </si>
  <si>
    <t xml:space="preserve">The figure printed in the book, beside the figure this workbook computes. Every difference must be zero: a money amount to half a cent, a ratio to the sixth decimal.</t>
  </si>
  <si>
    <t xml:space="preserve">What the book prints</t>
  </si>
  <si>
    <t xml:space="preserve">Printed</t>
  </si>
  <si>
    <t xml:space="preserve">Computed here</t>
  </si>
  <si>
    <t xml:space="preserve">Difference</t>
  </si>
  <si>
    <t xml:space="preserve">Status</t>
  </si>
  <si>
    <t xml:space="preserve">Budget less the underwriting plan, full year</t>
  </si>
  <si>
    <t xml:space="preserve">Budget against the plan, per cent</t>
  </si>
  <si>
    <t xml:space="preserve">Revenue against budget, per cent</t>
  </si>
  <si>
    <t xml:space="preserve">Revenue against prior year, per cent</t>
  </si>
  <si>
    <t xml:space="preserve">Revenue against the July forecast, per cent</t>
  </si>
  <si>
    <t xml:space="preserve">Revenue against the preceding quarter, per cent</t>
  </si>
  <si>
    <t xml:space="preserve">Revenue against the underwriting plan, per cent</t>
  </si>
  <si>
    <t xml:space="preserve">Spread between the best and the worst reading</t>
  </si>
  <si>
    <t xml:space="preserve">Number of favourable readings</t>
  </si>
  <si>
    <t xml:space="preserve">Spread in money, 7,740,000 less -16,160,000</t>
  </si>
  <si>
    <t xml:space="preserve">The July gap on the actual, Chapter 11</t>
  </si>
  <si>
    <t xml:space="preserve">The budget's step from Q2 to Q3</t>
  </si>
  <si>
    <t xml:space="preserve">The prior year's step from Q2 to Q3</t>
  </si>
  <si>
    <t xml:space="preserve">Chapter 7: three quarters budgeted below the prior year, together</t>
  </si>
  <si>
    <t xml:space="preserve">Chapter 7: nine months against the prior year</t>
  </si>
  <si>
    <t xml:space="preserve">Chapter 8: plan for the first three quarters</t>
  </si>
  <si>
    <t xml:space="preserve">Chapter 8: nine-month shortfall against the plan</t>
  </si>
  <si>
    <t xml:space="preserve">Chapter 8: the same, per cent of the plan</t>
  </si>
  <si>
    <t xml:space="preserve">Chapter 8: plan-to-budget gap less the budget variance, nine months</t>
  </si>
  <si>
    <t xml:space="preserve">Chapter 8: full year on the reforecast</t>
  </si>
  <si>
    <t xml:space="preserve">Chapter 8: reforecast above budget</t>
  </si>
  <si>
    <t xml:space="preserve">Chapter 8: reforecast below the plan</t>
  </si>
  <si>
    <t xml:space="preserve">Chapter 8: fourth quarter below the plan</t>
  </si>
  <si>
    <t xml:space="preserve">Chapter 8: the two Q3 readings are the Q3 plan-to-budget gap apart</t>
  </si>
  <si>
    <t xml:space="preserve">Chapter 12: working days</t>
  </si>
  <si>
    <t xml:space="preserve">Chapter 12: cost of the cycle</t>
  </si>
  <si>
    <t xml:space="preserve">Chapter 12: per cent of budget EBIT</t>
  </si>
  <si>
    <t xml:space="preserve">Chapter 12: per million of revenue</t>
  </si>
  <si>
    <t xml:space="preserve">Chapter 12: half a day either way</t>
  </si>
  <si>
    <t xml:space="preserve">Chapter 12: a loaded rate wrong by a tenth</t>
  </si>
  <si>
    <t xml:space="preserve">Chapter 12: platform exposure as a multiple of the cycle</t>
  </si>
  <si>
    <t xml:space="preserve">Chapter 12: share of the calendar</t>
  </si>
  <si>
    <t xml:space="preserve">Chapter 12: share of the period per participant</t>
  </si>
  <si>
    <t xml:space="preserve">Chapter 12: one more round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</si>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</sst>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"/>
    <numFmt numFmtId="166" formatCode="0.0000%"/>
    <numFmt numFmtId="167" formatCode="#,##0;[RED]\-#,##0"/>
    <numFmt numFmtId="168" formatCode="0.00"/>
    <numFmt numFmtId="169" formatCode="#,##0.00"/>
    <numFmt numFmtId="170" formatCode="0.00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5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216340000</v>
      </c>
    </row>
    <row r="6" customFormat="false" ht="15" hidden="false" customHeight="false" outlineLevel="0" collapsed="false">
      <c r="A6" s="5" t="s">
        <v>3</v>
      </c>
    </row>
    <row r="7" customFormat="false" ht="15" hidden="false" customHeight="false" outlineLevel="0" collapsed="false">
      <c r="A7" s="3" t="s">
        <v>4</v>
      </c>
      <c r="B7" s="6" t="n">
        <v>210000000</v>
      </c>
      <c r="C7" s="2" t="s">
        <v>5</v>
      </c>
    </row>
    <row r="8" customFormat="false" ht="15" hidden="false" customHeight="false" outlineLevel="0" collapsed="false">
      <c r="A8" s="3" t="s">
        <v>6</v>
      </c>
      <c r="B8" s="6" t="n">
        <v>218900000</v>
      </c>
      <c r="C8" s="2" t="s">
        <v>7</v>
      </c>
    </row>
    <row r="9" customFormat="false" ht="15" hidden="false" customHeight="false" outlineLevel="0" collapsed="false">
      <c r="A9" s="3" t="s">
        <v>8</v>
      </c>
      <c r="B9" s="6" t="n">
        <v>221000000</v>
      </c>
      <c r="C9" s="2" t="s">
        <v>9</v>
      </c>
    </row>
    <row r="10" customFormat="false" ht="15" hidden="false" customHeight="false" outlineLevel="0" collapsed="false">
      <c r="A10" s="3" t="s">
        <v>10</v>
      </c>
      <c r="B10" s="6" t="n">
        <v>208600000</v>
      </c>
      <c r="C10" s="2" t="s">
        <v>11</v>
      </c>
    </row>
    <row r="11" customFormat="false" ht="15" hidden="false" customHeight="false" outlineLevel="0" collapsed="false">
      <c r="A11" s="3" t="s">
        <v>12</v>
      </c>
      <c r="B11" s="6" t="n">
        <v>232500000</v>
      </c>
      <c r="C11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50"/>
  </cols>
  <sheetData>
    <row r="1" customFormat="false" ht="16.1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</row>
    <row r="5" customFormat="false" ht="15" hidden="false" customHeight="false" outlineLevel="0" collapsed="false">
      <c r="A5" s="3" t="str">
        <f aca="false">Inputs!A7</f>
        <v>Budget</v>
      </c>
      <c r="B5" s="8" t="n">
        <f aca="false">Inputs!B7</f>
        <v>210000000</v>
      </c>
      <c r="C5" s="8" t="n">
        <f aca="false">Inputs!$B$4</f>
        <v>216340000</v>
      </c>
      <c r="D5" s="8" t="n">
        <f aca="false">C5-B5</f>
        <v>6340000</v>
      </c>
      <c r="E5" s="9" t="n">
        <f aca="false">D5/B5</f>
        <v>0.0301904761904762</v>
      </c>
      <c r="F5" s="3" t="str">
        <f aca="false">Inputs!C7</f>
        <v>Did we do what we told ourselves in November</v>
      </c>
    </row>
    <row r="6" customFormat="false" ht="15" hidden="false" customHeight="false" outlineLevel="0" collapsed="false">
      <c r="A6" s="3" t="str">
        <f aca="false">Inputs!A8</f>
        <v>Prior year, same quarter</v>
      </c>
      <c r="B6" s="8" t="n">
        <f aca="false">Inputs!B8</f>
        <v>218900000</v>
      </c>
      <c r="C6" s="8" t="n">
        <f aca="false">Inputs!$B$4</f>
        <v>216340000</v>
      </c>
      <c r="D6" s="8" t="n">
        <f aca="false">C6-B6</f>
        <v>-2560000</v>
      </c>
      <c r="E6" s="9" t="n">
        <f aca="false">D6/B6</f>
        <v>-0.0116948378254911</v>
      </c>
      <c r="F6" s="3" t="str">
        <f aca="false">Inputs!C8</f>
        <v>Is the business bigger than it was</v>
      </c>
    </row>
    <row r="7" customFormat="false" ht="15" hidden="false" customHeight="false" outlineLevel="0" collapsed="false">
      <c r="A7" s="3" t="str">
        <f aca="false">Inputs!A9</f>
        <v>Latest forecast (July)</v>
      </c>
      <c r="B7" s="8" t="n">
        <f aca="false">Inputs!B9</f>
        <v>221000000</v>
      </c>
      <c r="C7" s="8" t="n">
        <f aca="false">Inputs!$B$4</f>
        <v>216340000</v>
      </c>
      <c r="D7" s="8" t="n">
        <f aca="false">C7-B7</f>
        <v>-4660000</v>
      </c>
      <c r="E7" s="9" t="n">
        <f aca="false">D7/B7</f>
        <v>-0.0210859728506787</v>
      </c>
      <c r="F7" s="3" t="str">
        <f aca="false">Inputs!C9</f>
        <v>Did we know what was coming</v>
      </c>
    </row>
    <row r="8" customFormat="false" ht="15" hidden="false" customHeight="false" outlineLevel="0" collapsed="false">
      <c r="A8" s="3" t="str">
        <f aca="false">Inputs!A10</f>
        <v>Preceding quarter</v>
      </c>
      <c r="B8" s="8" t="n">
        <f aca="false">Inputs!B10</f>
        <v>208600000</v>
      </c>
      <c r="C8" s="8" t="n">
        <f aca="false">Inputs!$B$4</f>
        <v>216340000</v>
      </c>
      <c r="D8" s="8" t="n">
        <f aca="false">C8-B8</f>
        <v>7740000</v>
      </c>
      <c r="E8" s="9" t="n">
        <f aca="false">D8/B8</f>
        <v>0.037104506232023</v>
      </c>
      <c r="F8" s="3" t="str">
        <f aca="false">Inputs!C10</f>
        <v>Is it getting better or worse</v>
      </c>
    </row>
    <row r="9" customFormat="false" ht="15" hidden="false" customHeight="false" outlineLevel="0" collapsed="false">
      <c r="A9" s="3" t="str">
        <f aca="false">Inputs!A11</f>
        <v>Underwriting plan</v>
      </c>
      <c r="B9" s="8" t="n">
        <f aca="false">Inputs!B11</f>
        <v>232500000</v>
      </c>
      <c r="C9" s="8" t="n">
        <f aca="false">Inputs!$B$4</f>
        <v>216340000</v>
      </c>
      <c r="D9" s="8" t="n">
        <f aca="false">C9-B9</f>
        <v>-16160000</v>
      </c>
      <c r="E9" s="9" t="n">
        <f aca="false">D9/B9</f>
        <v>-0.069505376344086</v>
      </c>
      <c r="F9" s="3" t="str">
        <f aca="false">Inputs!C11</f>
        <v>Are we worth what the owners paid</v>
      </c>
    </row>
    <row r="11" customFormat="false" ht="15" hidden="false" customHeight="false" outlineLevel="0" collapsed="false">
      <c r="A11" s="5" t="s">
        <v>22</v>
      </c>
      <c r="E11" s="10" t="n">
        <f aca="false">MAX(E5:E9)</f>
        <v>0.037104506232023</v>
      </c>
    </row>
    <row r="12" customFormat="false" ht="15" hidden="false" customHeight="false" outlineLevel="0" collapsed="false">
      <c r="A12" s="5" t="s">
        <v>23</v>
      </c>
      <c r="E12" s="10" t="n">
        <f aca="false">MIN(E5:E9)</f>
        <v>-0.069505376344086</v>
      </c>
    </row>
    <row r="13" customFormat="false" ht="15" hidden="false" customHeight="false" outlineLevel="0" collapsed="false">
      <c r="A13" s="5" t="s">
        <v>24</v>
      </c>
      <c r="E13" s="10" t="n">
        <f aca="false">MAX(E5:E9)-MIN(E5:E9)</f>
        <v>0.106609882576109</v>
      </c>
    </row>
    <row r="14" customFormat="false" ht="15" hidden="false" customHeight="false" outlineLevel="0" collapsed="false">
      <c r="A14" s="5" t="s">
        <v>25</v>
      </c>
      <c r="E14" s="11" t="n">
        <f aca="false">COUNTIF(D5:D9,"&gt;0")</f>
        <v>2</v>
      </c>
    </row>
    <row r="15" customFormat="false" ht="15" hidden="false" customHeight="false" outlineLevel="0" collapsed="false">
      <c r="A15" s="3" t="s">
        <v>26</v>
      </c>
      <c r="E15" s="8" t="n">
        <f aca="false">MAX(D5:D9)-MIN(D5:D9)</f>
        <v>23900000</v>
      </c>
    </row>
    <row r="16" customFormat="false" ht="15" hidden="false" customHeight="false" outlineLevel="0" collapsed="false">
      <c r="A16" s="3" t="s">
        <v>27</v>
      </c>
      <c r="E16" s="9" t="n">
        <f aca="false">(B7-C7)/C7</f>
        <v>0.0215401682536748</v>
      </c>
    </row>
    <row r="18" customFormat="false" ht="15" hidden="false" customHeight="false" outlineLevel="0" collapsed="false">
      <c r="A18" s="3" t="s">
        <v>28</v>
      </c>
      <c r="E18" s="9" t="n">
        <f aca="false">Phasing!B7/Phasing!B6-1</f>
        <v>0.024390243902439</v>
      </c>
    </row>
    <row r="19" customFormat="false" ht="15" hidden="false" customHeight="false" outlineLevel="0" collapsed="false">
      <c r="A19" s="3" t="s">
        <v>29</v>
      </c>
      <c r="E19" s="9" t="n">
        <f aca="false">Phasing!E7/Phasing!E6-1</f>
        <v>0.0473684210526315</v>
      </c>
    </row>
    <row r="20" customFormat="false" ht="15" hidden="false" customHeight="false" outlineLevel="0" collapsed="false">
      <c r="A20" s="3" t="s">
        <v>30</v>
      </c>
      <c r="E20" s="3" t="str">
        <f aca="false">IF(AND(E8&gt;=MIN(E18:E19),E8&lt;=MAX(E18:E19)),"inside it: read as a direction, not a measurement","outside it")</f>
        <v>inside it: read as a direction, not a measurement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8"/>
    <col collapsed="false" customWidth="true" hidden="false" outlineLevel="0" max="6" min="6" style="0" width="22"/>
    <col collapsed="false" customWidth="true" hidden="false" outlineLevel="0" max="7" min="7" style="0" width="20"/>
  </cols>
  <sheetData>
    <row r="1" customFormat="false" ht="16.1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7" t="s">
        <v>33</v>
      </c>
      <c r="B4" s="7" t="s">
        <v>4</v>
      </c>
      <c r="C4" s="7" t="s">
        <v>12</v>
      </c>
      <c r="D4" s="7" t="s">
        <v>34</v>
      </c>
      <c r="E4" s="7" t="s">
        <v>35</v>
      </c>
      <c r="F4" s="7" t="s">
        <v>36</v>
      </c>
      <c r="G4" s="12" t="s">
        <v>37</v>
      </c>
    </row>
    <row r="5" customFormat="false" ht="15" hidden="false" customHeight="false" outlineLevel="0" collapsed="false">
      <c r="A5" s="3" t="s">
        <v>38</v>
      </c>
      <c r="B5" s="6" t="n">
        <v>195000000</v>
      </c>
      <c r="C5" s="6" t="n">
        <v>220000000</v>
      </c>
      <c r="D5" s="8" t="n">
        <f aca="false">C5-B5</f>
        <v>25000000</v>
      </c>
      <c r="E5" s="6" t="n">
        <v>198000000</v>
      </c>
      <c r="F5" s="8" t="n">
        <f aca="false">B5-E5</f>
        <v>-3000000</v>
      </c>
      <c r="G5" s="13" t="n">
        <v>191400000</v>
      </c>
    </row>
    <row r="6" customFormat="false" ht="15" hidden="false" customHeight="false" outlineLevel="0" collapsed="false">
      <c r="A6" s="3" t="s">
        <v>39</v>
      </c>
      <c r="B6" s="6" t="n">
        <v>205000000</v>
      </c>
      <c r="C6" s="6" t="n">
        <v>228000000</v>
      </c>
      <c r="D6" s="8" t="n">
        <f aca="false">C6-B6</f>
        <v>23000000</v>
      </c>
      <c r="E6" s="6" t="n">
        <v>209000000</v>
      </c>
      <c r="F6" s="8" t="n">
        <f aca="false">B6-E6</f>
        <v>-4000000</v>
      </c>
      <c r="G6" s="14" t="n">
        <f aca="false">Inputs!B10</f>
        <v>208600000</v>
      </c>
    </row>
    <row r="7" customFormat="false" ht="15" hidden="false" customHeight="false" outlineLevel="0" collapsed="false">
      <c r="A7" s="3" t="s">
        <v>40</v>
      </c>
      <c r="B7" s="6" t="n">
        <v>210000000</v>
      </c>
      <c r="C7" s="6" t="n">
        <v>232500000</v>
      </c>
      <c r="D7" s="8" t="n">
        <f aca="false">C7-B7</f>
        <v>22500000</v>
      </c>
      <c r="E7" s="6" t="n">
        <v>218900000</v>
      </c>
      <c r="F7" s="8" t="n">
        <f aca="false">B7-E7</f>
        <v>-8900000</v>
      </c>
      <c r="G7" s="14" t="n">
        <f aca="false">Inputs!B4</f>
        <v>216340000</v>
      </c>
    </row>
    <row r="8" customFormat="false" ht="15" hidden="false" customHeight="false" outlineLevel="0" collapsed="false">
      <c r="A8" s="3" t="s">
        <v>41</v>
      </c>
      <c r="B8" s="6" t="n">
        <v>230000000</v>
      </c>
      <c r="C8" s="6" t="n">
        <v>249500000</v>
      </c>
      <c r="D8" s="8" t="n">
        <f aca="false">C8-B8</f>
        <v>19500000</v>
      </c>
      <c r="E8" s="6" t="n">
        <v>214100000</v>
      </c>
      <c r="F8" s="8" t="n">
        <f aca="false">B8-E8</f>
        <v>15900000</v>
      </c>
      <c r="G8" s="13" t="n">
        <v>236000000</v>
      </c>
      <c r="H8" s="15" t="s">
        <v>42</v>
      </c>
    </row>
    <row r="9" customFormat="false" ht="15" hidden="false" customHeight="false" outlineLevel="0" collapsed="false">
      <c r="A9" s="5" t="s">
        <v>43</v>
      </c>
      <c r="B9" s="16" t="n">
        <f aca="false">SUM(B5:B8)</f>
        <v>840000000</v>
      </c>
      <c r="C9" s="16" t="n">
        <f aca="false">SUM(C5:C8)</f>
        <v>930000000</v>
      </c>
      <c r="D9" s="16" t="n">
        <f aca="false">SUM(D5:D8)</f>
        <v>90000000</v>
      </c>
      <c r="E9" s="16" t="n">
        <f aca="false">SUM(E5:E8)</f>
        <v>840000000</v>
      </c>
      <c r="F9" s="16" t="n">
        <f aca="false">SUM(F5:F8)</f>
        <v>0</v>
      </c>
      <c r="G9" s="14" t="n">
        <f aca="false">SUM(G5:G8)</f>
        <v>852340000</v>
      </c>
    </row>
    <row r="11" customFormat="false" ht="15" hidden="false" customHeight="false" outlineLevel="0" collapsed="false">
      <c r="A11" s="3" t="s">
        <v>44</v>
      </c>
      <c r="B11" s="9" t="n">
        <f aca="false">B9/C9-1</f>
        <v>-0.0967741935483871</v>
      </c>
    </row>
    <row r="12" customFormat="false" ht="15" hidden="false" customHeight="false" outlineLevel="0" collapsed="false">
      <c r="A12" s="3" t="s">
        <v>45</v>
      </c>
      <c r="B12" s="9" t="n">
        <f aca="false">C9/E9-1</f>
        <v>0.107142857142857</v>
      </c>
    </row>
    <row r="13" customFormat="false" ht="15" hidden="false" customHeight="false" outlineLevel="0" collapsed="false">
      <c r="A13" s="3" t="s">
        <v>46</v>
      </c>
      <c r="B13" s="9" t="n">
        <f aca="false">B9/E9-1</f>
        <v>0</v>
      </c>
    </row>
    <row r="15" customFormat="false" ht="15" hidden="false" customHeight="false" outlineLevel="0" collapsed="false">
      <c r="A15" s="5" t="s">
        <v>47</v>
      </c>
    </row>
    <row r="16" customFormat="false" ht="15" hidden="false" customHeight="false" outlineLevel="0" collapsed="false">
      <c r="A16" s="3" t="s">
        <v>48</v>
      </c>
      <c r="B16" s="14" t="n">
        <f aca="false">SUM(B5:B7)</f>
        <v>610000000</v>
      </c>
    </row>
    <row r="17" customFormat="false" ht="15" hidden="false" customHeight="false" outlineLevel="0" collapsed="false">
      <c r="A17" s="3" t="s">
        <v>49</v>
      </c>
      <c r="B17" s="14" t="n">
        <f aca="false">SUM(C5:C7)</f>
        <v>680500000</v>
      </c>
    </row>
    <row r="18" customFormat="false" ht="15" hidden="false" customHeight="false" outlineLevel="0" collapsed="false">
      <c r="A18" s="3" t="s">
        <v>50</v>
      </c>
      <c r="B18" s="14" t="n">
        <f aca="false">SUM(E5:E7)</f>
        <v>625900000</v>
      </c>
    </row>
    <row r="19" customFormat="false" ht="15" hidden="false" customHeight="false" outlineLevel="0" collapsed="false">
      <c r="A19" s="3" t="s">
        <v>51</v>
      </c>
      <c r="B19" s="14" t="n">
        <f aca="false">SUM(G5:G7)</f>
        <v>616340000</v>
      </c>
    </row>
    <row r="20" customFormat="false" ht="15" hidden="false" customHeight="false" outlineLevel="0" collapsed="false">
      <c r="A20" s="3" t="s">
        <v>52</v>
      </c>
      <c r="B20" s="14" t="n">
        <f aca="false">B19-B16</f>
        <v>6340000</v>
      </c>
    </row>
    <row r="21" customFormat="false" ht="15" hidden="false" customHeight="false" outlineLevel="0" collapsed="false">
      <c r="A21" s="3" t="s">
        <v>53</v>
      </c>
      <c r="B21" s="14" t="n">
        <f aca="false">B19-B17</f>
        <v>-64160000</v>
      </c>
    </row>
    <row r="22" customFormat="false" ht="15" hidden="false" customHeight="false" outlineLevel="0" collapsed="false">
      <c r="A22" s="3" t="s">
        <v>54</v>
      </c>
      <c r="B22" s="9" t="n">
        <f aca="false">(B17-B19)/B17</f>
        <v>0.0942836149889787</v>
      </c>
    </row>
    <row r="23" customFormat="false" ht="15" hidden="false" customHeight="false" outlineLevel="0" collapsed="false">
      <c r="A23" s="3" t="s">
        <v>55</v>
      </c>
      <c r="B23" s="14" t="n">
        <f aca="false">B19-B18</f>
        <v>-9560000</v>
      </c>
    </row>
    <row r="24" customFormat="false" ht="15" hidden="false" customHeight="false" outlineLevel="0" collapsed="false">
      <c r="A24" s="3" t="s">
        <v>56</v>
      </c>
      <c r="B24" s="14" t="n">
        <f aca="false">SUM(D5:D7)-B20</f>
        <v>64160000</v>
      </c>
    </row>
    <row r="26" customFormat="false" ht="15" hidden="false" customHeight="false" outlineLevel="0" collapsed="false">
      <c r="A26" s="3" t="s">
        <v>57</v>
      </c>
      <c r="B26" s="14" t="n">
        <f aca="false">B19+G8</f>
        <v>852340000</v>
      </c>
    </row>
    <row r="27" customFormat="false" ht="15" hidden="false" customHeight="false" outlineLevel="0" collapsed="false">
      <c r="A27" s="3" t="s">
        <v>58</v>
      </c>
      <c r="B27" s="14" t="n">
        <f aca="false">B26-B9</f>
        <v>12340000</v>
      </c>
    </row>
    <row r="28" customFormat="false" ht="15" hidden="false" customHeight="false" outlineLevel="0" collapsed="false">
      <c r="A28" s="3" t="s">
        <v>59</v>
      </c>
      <c r="B28" s="14" t="n">
        <f aca="false">C9-B26</f>
        <v>77660000</v>
      </c>
    </row>
    <row r="29" customFormat="false" ht="15" hidden="false" customHeight="false" outlineLevel="0" collapsed="false">
      <c r="A29" s="3" t="s">
        <v>60</v>
      </c>
      <c r="B29" s="14" t="n">
        <f aca="false">C8-G8</f>
        <v>13500000</v>
      </c>
    </row>
    <row r="30" customFormat="false" ht="15" hidden="false" customHeight="false" outlineLevel="0" collapsed="false">
      <c r="A30" s="3" t="s">
        <v>61</v>
      </c>
      <c r="B30" s="14" t="n">
        <f aca="false">Comparisons!D5-Comparisons!D9</f>
        <v>22500000</v>
      </c>
    </row>
    <row r="31" customFormat="false" ht="15" hidden="false" customHeight="false" outlineLevel="0" collapsed="false">
      <c r="A31" s="3" t="s">
        <v>62</v>
      </c>
      <c r="B31" s="14" t="n">
        <f aca="false">SUM(F5:F7)</f>
        <v>-15900000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63</v>
      </c>
    </row>
    <row r="2" customFormat="false" ht="15" hidden="false" customHeight="false" outlineLevel="0" collapsed="false">
      <c r="A2" s="15" t="s">
        <v>64</v>
      </c>
    </row>
    <row r="4" customFormat="false" ht="15" hidden="false" customHeight="false" outlineLevel="0" collapsed="false">
      <c r="A4" s="3" t="s">
        <v>65</v>
      </c>
      <c r="B4" s="13" t="n">
        <v>118</v>
      </c>
    </row>
    <row r="5" customFormat="false" ht="15" hidden="false" customHeight="false" outlineLevel="0" collapsed="false">
      <c r="A5" s="3" t="s">
        <v>66</v>
      </c>
      <c r="B5" s="17" t="n">
        <v>6.5</v>
      </c>
    </row>
    <row r="6" customFormat="false" ht="15" hidden="false" customHeight="false" outlineLevel="0" collapsed="false">
      <c r="A6" s="3" t="s">
        <v>67</v>
      </c>
      <c r="B6" s="6" t="n">
        <v>620</v>
      </c>
    </row>
    <row r="7" customFormat="false" ht="15" hidden="false" customHeight="false" outlineLevel="0" collapsed="false">
      <c r="A7" s="3" t="s">
        <v>68</v>
      </c>
      <c r="B7" s="13" t="n">
        <v>14</v>
      </c>
    </row>
    <row r="8" customFormat="false" ht="15" hidden="false" customHeight="false" outlineLevel="0" collapsed="false">
      <c r="A8" s="3" t="s">
        <v>69</v>
      </c>
      <c r="B8" s="13" t="n">
        <v>93152000</v>
      </c>
    </row>
    <row r="9" customFormat="false" ht="15" hidden="false" customHeight="false" outlineLevel="0" collapsed="false">
      <c r="A9" s="3" t="s">
        <v>70</v>
      </c>
      <c r="B9" s="13" t="n">
        <v>840000000</v>
      </c>
    </row>
    <row r="10" customFormat="false" ht="15" hidden="false" customHeight="false" outlineLevel="0" collapsed="false">
      <c r="A10" s="3" t="s">
        <v>71</v>
      </c>
      <c r="B10" s="13" t="n">
        <v>3800800</v>
      </c>
    </row>
    <row r="11" customFormat="false" ht="15" hidden="false" customHeight="false" outlineLevel="0" collapsed="false">
      <c r="A11" s="3" t="s">
        <v>72</v>
      </c>
      <c r="B11" s="13" t="n">
        <v>5952000</v>
      </c>
      <c r="C11" s="15" t="s">
        <v>73</v>
      </c>
    </row>
    <row r="13" customFormat="false" ht="15" hidden="false" customHeight="false" outlineLevel="0" collapsed="false">
      <c r="A13" s="3" t="s">
        <v>74</v>
      </c>
      <c r="B13" s="18" t="n">
        <f aca="false">B4*B5</f>
        <v>767</v>
      </c>
    </row>
    <row r="14" customFormat="false" ht="15" hidden="false" customHeight="false" outlineLevel="0" collapsed="false">
      <c r="A14" s="5" t="s">
        <v>75</v>
      </c>
      <c r="B14" s="16" t="n">
        <f aca="false">B13*B6</f>
        <v>475540</v>
      </c>
    </row>
    <row r="15" customFormat="false" ht="15" hidden="false" customHeight="false" outlineLevel="0" collapsed="false">
      <c r="A15" s="3" t="s">
        <v>76</v>
      </c>
      <c r="B15" s="9" t="n">
        <f aca="false">B14/B8</f>
        <v>0.00510498969426314</v>
      </c>
    </row>
    <row r="16" customFormat="false" ht="15" hidden="false" customHeight="false" outlineLevel="0" collapsed="false">
      <c r="A16" s="3" t="s">
        <v>77</v>
      </c>
      <c r="B16" s="8" t="n">
        <f aca="false">B14/(B9/1000000)</f>
        <v>566.119047619048</v>
      </c>
    </row>
    <row r="17" customFormat="false" ht="15" hidden="false" customHeight="false" outlineLevel="0" collapsed="false">
      <c r="A17" s="3" t="s">
        <v>78</v>
      </c>
      <c r="B17" s="8" t="n">
        <f aca="false">B4*0.5*B6</f>
        <v>36580</v>
      </c>
    </row>
    <row r="18" customFormat="false" ht="15" hidden="false" customHeight="false" outlineLevel="0" collapsed="false">
      <c r="A18" s="3" t="s">
        <v>79</v>
      </c>
      <c r="B18" s="8" t="n">
        <f aca="false">B14*0.1</f>
        <v>47554</v>
      </c>
    </row>
    <row r="19" customFormat="false" ht="15" hidden="false" customHeight="false" outlineLevel="0" collapsed="false">
      <c r="A19" s="3" t="s">
        <v>80</v>
      </c>
      <c r="B19" s="9" t="n">
        <f aca="false">B14/B10</f>
        <v>0.125115765102084</v>
      </c>
    </row>
    <row r="20" customFormat="false" ht="15" hidden="false" customHeight="false" outlineLevel="0" collapsed="false">
      <c r="A20" s="3" t="s">
        <v>81</v>
      </c>
      <c r="B20" s="19" t="n">
        <f aca="false">B11/B14</f>
        <v>12.51629726206</v>
      </c>
    </row>
    <row r="21" customFormat="false" ht="15" hidden="false" customHeight="false" outlineLevel="0" collapsed="false">
      <c r="A21" s="3" t="s">
        <v>82</v>
      </c>
      <c r="B21" s="9" t="n">
        <f aca="false">B7/52</f>
        <v>0.269230769230769</v>
      </c>
    </row>
    <row r="22" customFormat="false" ht="15" hidden="false" customHeight="false" outlineLevel="0" collapsed="false">
      <c r="A22" s="3" t="s">
        <v>83</v>
      </c>
      <c r="B22" s="14" t="n">
        <f aca="false">B7*5</f>
        <v>70</v>
      </c>
    </row>
    <row r="23" customFormat="false" ht="15" hidden="false" customHeight="false" outlineLevel="0" collapsed="false">
      <c r="A23" s="3" t="s">
        <v>84</v>
      </c>
      <c r="B23" s="9" t="n">
        <f aca="false">B5/B22</f>
        <v>0.0928571428571429</v>
      </c>
    </row>
    <row r="24" customFormat="false" ht="15" hidden="false" customHeight="false" outlineLevel="0" collapsed="false">
      <c r="A24" s="3" t="s">
        <v>85</v>
      </c>
      <c r="B24" s="8" t="n">
        <f aca="false">B4*B6</f>
        <v>73160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20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15" hidden="false" customHeight="false" outlineLevel="0" collapsed="false">
      <c r="A4" s="7" t="s">
        <v>88</v>
      </c>
      <c r="B4" s="7" t="s">
        <v>89</v>
      </c>
      <c r="C4" s="7" t="s">
        <v>90</v>
      </c>
      <c r="D4" s="7" t="s">
        <v>91</v>
      </c>
      <c r="E4" s="7" t="s">
        <v>92</v>
      </c>
    </row>
    <row r="5" customFormat="false" ht="15" hidden="false" customHeight="false" outlineLevel="0" collapsed="false">
      <c r="A5" s="20" t="s">
        <v>93</v>
      </c>
      <c r="B5" s="8" t="n">
        <v>-90000000</v>
      </c>
      <c r="C5" s="8" t="n">
        <f aca="false">-Phasing!D9</f>
        <v>-90000000</v>
      </c>
      <c r="D5" s="8" t="n">
        <f aca="false">ROUND(C5-B5,6)</f>
        <v>0</v>
      </c>
      <c r="E5" s="5" t="str">
        <f aca="false">IF(ISNUMBER(C5),IF(ABS(D5)&lt;IF(ABS(B5)&lt;10,0.0000005,0.005),"PASS","CHECK"),"CHECK")</f>
        <v>PASS</v>
      </c>
    </row>
    <row r="6" customFormat="false" ht="15" hidden="false" customHeight="false" outlineLevel="0" collapsed="false">
      <c r="A6" s="20" t="s">
        <v>94</v>
      </c>
      <c r="B6" s="9" t="n">
        <v>-0.0967741935483871</v>
      </c>
      <c r="C6" s="9" t="n">
        <f aca="false">Phasing!B11</f>
        <v>-0.0967741935483871</v>
      </c>
      <c r="D6" s="9" t="n">
        <f aca="false">ROUND(C6-B6,6)</f>
        <v>0</v>
      </c>
      <c r="E6" s="5" t="str">
        <f aca="false">IF(ISNUMBER(C6),IF(ABS(D6)&lt;IF(ABS(B6)&lt;10,0.0000005,0.005),"PASS","CHECK"),"CHECK")</f>
        <v>PASS</v>
      </c>
    </row>
    <row r="7" customFormat="false" ht="15" hidden="false" customHeight="false" outlineLevel="0" collapsed="false">
      <c r="A7" s="20" t="s">
        <v>45</v>
      </c>
      <c r="B7" s="9" t="n">
        <v>0.107142857142857</v>
      </c>
      <c r="C7" s="9" t="n">
        <f aca="false">Phasing!B12</f>
        <v>0.107142857142857</v>
      </c>
      <c r="D7" s="9" t="n">
        <f aca="false">ROUND(C7-B7,6)</f>
        <v>0</v>
      </c>
      <c r="E7" s="5" t="str">
        <f aca="false">IF(ISNUMBER(C7),IF(ABS(D7)&lt;IF(ABS(B7)&lt;10,0.0000005,0.005),"PASS","CHECK"),"CHECK")</f>
        <v>PASS</v>
      </c>
    </row>
    <row r="8" customFormat="false" ht="15" hidden="false" customHeight="false" outlineLevel="0" collapsed="false">
      <c r="A8" s="20" t="s">
        <v>95</v>
      </c>
      <c r="B8" s="9" t="n">
        <v>0.0301904761904761</v>
      </c>
      <c r="C8" s="9" t="n">
        <f aca="false">Comparisons!E5</f>
        <v>0.0301904761904762</v>
      </c>
      <c r="D8" s="9" t="n">
        <f aca="false">ROUND(C8-B8,6)</f>
        <v>0</v>
      </c>
      <c r="E8" s="5" t="str">
        <f aca="false">IF(ISNUMBER(C8),IF(ABS(D8)&lt;IF(ABS(B8)&lt;10,0.0000005,0.005),"PASS","CHECK"),"CHECK")</f>
        <v>PASS</v>
      </c>
    </row>
    <row r="9" customFormat="false" ht="15" hidden="false" customHeight="false" outlineLevel="0" collapsed="false">
      <c r="A9" s="20" t="s">
        <v>96</v>
      </c>
      <c r="B9" s="9" t="n">
        <v>-0.0116948378254911</v>
      </c>
      <c r="C9" s="9" t="n">
        <f aca="false">Comparisons!E6</f>
        <v>-0.0116948378254911</v>
      </c>
      <c r="D9" s="9" t="n">
        <f aca="false">ROUND(C9-B9,6)</f>
        <v>0</v>
      </c>
      <c r="E9" s="5" t="str">
        <f aca="false">IF(ISNUMBER(C9),IF(ABS(D9)&lt;IF(ABS(B9)&lt;10,0.0000005,0.005),"PASS","CHECK"),"CHECK")</f>
        <v>PASS</v>
      </c>
    </row>
    <row r="10" customFormat="false" ht="15" hidden="false" customHeight="false" outlineLevel="0" collapsed="false">
      <c r="A10" s="20" t="s">
        <v>97</v>
      </c>
      <c r="B10" s="9" t="n">
        <v>-0.0210859728506787</v>
      </c>
      <c r="C10" s="9" t="n">
        <f aca="false">Comparisons!E7</f>
        <v>-0.0210859728506787</v>
      </c>
      <c r="D10" s="9" t="n">
        <f aca="false">ROUND(C10-B10,6)</f>
        <v>0</v>
      </c>
      <c r="E10" s="5" t="str">
        <f aca="false">IF(ISNUMBER(C10),IF(ABS(D10)&lt;IF(ABS(B10)&lt;10,0.0000005,0.005),"PASS","CHECK"),"CHECK")</f>
        <v>PASS</v>
      </c>
    </row>
    <row r="11" customFormat="false" ht="15" hidden="false" customHeight="false" outlineLevel="0" collapsed="false">
      <c r="A11" s="20" t="s">
        <v>98</v>
      </c>
      <c r="B11" s="9" t="n">
        <v>0.037104506232023</v>
      </c>
      <c r="C11" s="9" t="n">
        <f aca="false">Comparisons!E8</f>
        <v>0.037104506232023</v>
      </c>
      <c r="D11" s="9" t="n">
        <f aca="false">ROUND(C11-B11,6)</f>
        <v>0</v>
      </c>
      <c r="E11" s="5" t="str">
        <f aca="false">IF(ISNUMBER(C11),IF(ABS(D11)&lt;IF(ABS(B11)&lt;10,0.0000005,0.005),"PASS","CHECK"),"CHECK")</f>
        <v>PASS</v>
      </c>
    </row>
    <row r="12" customFormat="false" ht="15" hidden="false" customHeight="false" outlineLevel="0" collapsed="false">
      <c r="A12" s="20" t="s">
        <v>99</v>
      </c>
      <c r="B12" s="9" t="n">
        <v>-0.0695053763440861</v>
      </c>
      <c r="C12" s="9" t="n">
        <f aca="false">Comparisons!E9</f>
        <v>-0.069505376344086</v>
      </c>
      <c r="D12" s="9" t="n">
        <f aca="false">ROUND(C12-B12,6)</f>
        <v>0</v>
      </c>
      <c r="E12" s="5" t="str">
        <f aca="false">IF(ISNUMBER(C12),IF(ABS(D12)&lt;IF(ABS(B12)&lt;10,0.0000005,0.005),"PASS","CHECK"),"CHECK")</f>
        <v>PASS</v>
      </c>
    </row>
    <row r="13" customFormat="false" ht="15" hidden="false" customHeight="false" outlineLevel="0" collapsed="false">
      <c r="A13" s="20" t="s">
        <v>100</v>
      </c>
      <c r="B13" s="9" t="n">
        <v>0.106609882576109</v>
      </c>
      <c r="C13" s="9" t="n">
        <f aca="false">Comparisons!E13</f>
        <v>0.106609882576109</v>
      </c>
      <c r="D13" s="9" t="n">
        <f aca="false">ROUND(C13-B13,6)</f>
        <v>0</v>
      </c>
      <c r="E13" s="5" t="str">
        <f aca="false">IF(ISNUMBER(C13),IF(ABS(D13)&lt;IF(ABS(B13)&lt;10,0.0000005,0.005),"PASS","CHECK"),"CHECK")</f>
        <v>PASS</v>
      </c>
    </row>
    <row r="14" customFormat="false" ht="15" hidden="false" customHeight="false" outlineLevel="0" collapsed="false">
      <c r="A14" s="20" t="s">
        <v>101</v>
      </c>
      <c r="B14" s="14" t="n">
        <v>2</v>
      </c>
      <c r="C14" s="14" t="n">
        <f aca="false">Comparisons!E14</f>
        <v>2</v>
      </c>
      <c r="D14" s="14" t="n">
        <f aca="false">ROUND(C14-B14,6)</f>
        <v>0</v>
      </c>
      <c r="E14" s="5" t="str">
        <f aca="false">IF(ISNUMBER(C14),IF(ABS(D14)&lt;IF(ABS(B14)&lt;10,0.0000005,0.005),"PASS","CHECK"),"CHECK")</f>
        <v>PASS</v>
      </c>
    </row>
    <row r="15" customFormat="false" ht="15" hidden="false" customHeight="false" outlineLevel="0" collapsed="false">
      <c r="A15" s="20" t="s">
        <v>102</v>
      </c>
      <c r="B15" s="8" t="n">
        <v>23900000</v>
      </c>
      <c r="C15" s="8" t="n">
        <f aca="false">Comparisons!E15</f>
        <v>23900000</v>
      </c>
      <c r="D15" s="8" t="n">
        <f aca="false">ROUND(C15-B15,6)</f>
        <v>0</v>
      </c>
      <c r="E15" s="5" t="str">
        <f aca="false">IF(ISNUMBER(C15),IF(ABS(D15)&lt;IF(ABS(B15)&lt;10,0.0000005,0.005),"PASS","CHECK"),"CHECK")</f>
        <v>PASS</v>
      </c>
    </row>
    <row r="16" customFormat="false" ht="15" hidden="false" customHeight="false" outlineLevel="0" collapsed="false">
      <c r="A16" s="20" t="s">
        <v>103</v>
      </c>
      <c r="B16" s="9" t="n">
        <v>0.0215401682536748</v>
      </c>
      <c r="C16" s="9" t="n">
        <f aca="false">Comparisons!E16</f>
        <v>0.0215401682536748</v>
      </c>
      <c r="D16" s="9" t="n">
        <f aca="false">ROUND(C16-B16,6)</f>
        <v>0</v>
      </c>
      <c r="E16" s="5" t="str">
        <f aca="false">IF(ISNUMBER(C16),IF(ABS(D16)&lt;IF(ABS(B16)&lt;10,0.0000005,0.005),"PASS","CHECK"),"CHECK")</f>
        <v>PASS</v>
      </c>
    </row>
    <row r="17" customFormat="false" ht="15" hidden="false" customHeight="false" outlineLevel="0" collapsed="false">
      <c r="A17" s="20" t="s">
        <v>104</v>
      </c>
      <c r="B17" s="9" t="n">
        <v>0.0243902439024391</v>
      </c>
      <c r="C17" s="9" t="n">
        <f aca="false">Comparisons!E18</f>
        <v>0.024390243902439</v>
      </c>
      <c r="D17" s="9" t="n">
        <f aca="false">ROUND(C17-B17,6)</f>
        <v>0</v>
      </c>
      <c r="E17" s="5" t="str">
        <f aca="false">IF(ISNUMBER(C17),IF(ABS(D17)&lt;IF(ABS(B17)&lt;10,0.0000005,0.005),"PASS","CHECK"),"CHECK")</f>
        <v>PASS</v>
      </c>
    </row>
    <row r="18" customFormat="false" ht="15" hidden="false" customHeight="false" outlineLevel="0" collapsed="false">
      <c r="A18" s="20" t="s">
        <v>105</v>
      </c>
      <c r="B18" s="9" t="n">
        <v>0.0473684210526315</v>
      </c>
      <c r="C18" s="9" t="n">
        <f aca="false">Comparisons!E19</f>
        <v>0.0473684210526315</v>
      </c>
      <c r="D18" s="9" t="n">
        <f aca="false">ROUND(C18-B18,6)</f>
        <v>0</v>
      </c>
      <c r="E18" s="5" t="str">
        <f aca="false">IF(ISNUMBER(C18),IF(ABS(D18)&lt;IF(ABS(B18)&lt;10,0.0000005,0.005),"PASS","CHECK"),"CHECK")</f>
        <v>PASS</v>
      </c>
    </row>
    <row r="19" customFormat="false" ht="15" hidden="false" customHeight="false" outlineLevel="0" collapsed="false">
      <c r="A19" s="20" t="s">
        <v>106</v>
      </c>
      <c r="B19" s="8" t="n">
        <v>-15900000</v>
      </c>
      <c r="C19" s="8" t="n">
        <f aca="false">Phasing!B31</f>
        <v>-15900000</v>
      </c>
      <c r="D19" s="8" t="n">
        <f aca="false">ROUND(C19-B19,6)</f>
        <v>0</v>
      </c>
      <c r="E19" s="5" t="str">
        <f aca="false">IF(ISNUMBER(C19),IF(ABS(D19)&lt;IF(ABS(B19)&lt;10,0.0000005,0.005),"PASS","CHECK"),"CHECK")</f>
        <v>PASS</v>
      </c>
    </row>
    <row r="20" customFormat="false" ht="15" hidden="false" customHeight="false" outlineLevel="0" collapsed="false">
      <c r="A20" s="20" t="s">
        <v>107</v>
      </c>
      <c r="B20" s="8" t="n">
        <v>-9560000</v>
      </c>
      <c r="C20" s="8" t="n">
        <f aca="false">Phasing!B23</f>
        <v>-9560000</v>
      </c>
      <c r="D20" s="8" t="n">
        <f aca="false">ROUND(C20-B20,6)</f>
        <v>0</v>
      </c>
      <c r="E20" s="5" t="str">
        <f aca="false">IF(ISNUMBER(C20),IF(ABS(D20)&lt;IF(ABS(B20)&lt;10,0.0000005,0.005),"PASS","CHECK"),"CHECK")</f>
        <v>PASS</v>
      </c>
    </row>
    <row r="21" customFormat="false" ht="15" hidden="false" customHeight="false" outlineLevel="0" collapsed="false">
      <c r="A21" s="20" t="s">
        <v>108</v>
      </c>
      <c r="B21" s="8" t="n">
        <v>680500000</v>
      </c>
      <c r="C21" s="8" t="n">
        <f aca="false">Phasing!B17</f>
        <v>680500000</v>
      </c>
      <c r="D21" s="8" t="n">
        <f aca="false">ROUND(C21-B21,6)</f>
        <v>0</v>
      </c>
      <c r="E21" s="5" t="str">
        <f aca="false">IF(ISNUMBER(C21),IF(ABS(D21)&lt;IF(ABS(B21)&lt;10,0.0000005,0.005),"PASS","CHECK"),"CHECK")</f>
        <v>PASS</v>
      </c>
    </row>
    <row r="22" customFormat="false" ht="15" hidden="false" customHeight="false" outlineLevel="0" collapsed="false">
      <c r="A22" s="20" t="s">
        <v>109</v>
      </c>
      <c r="B22" s="8" t="n">
        <v>-64160000</v>
      </c>
      <c r="C22" s="8" t="n">
        <f aca="false">Phasing!B21</f>
        <v>-64160000</v>
      </c>
      <c r="D22" s="8" t="n">
        <f aca="false">ROUND(C22-B22,6)</f>
        <v>0</v>
      </c>
      <c r="E22" s="5" t="str">
        <f aca="false">IF(ISNUMBER(C22),IF(ABS(D22)&lt;IF(ABS(B22)&lt;10,0.0000005,0.005),"PASS","CHECK"),"CHECK")</f>
        <v>PASS</v>
      </c>
    </row>
    <row r="23" customFormat="false" ht="15" hidden="false" customHeight="false" outlineLevel="0" collapsed="false">
      <c r="A23" s="20" t="s">
        <v>110</v>
      </c>
      <c r="B23" s="9" t="n">
        <v>0.0942836149889787</v>
      </c>
      <c r="C23" s="9" t="n">
        <f aca="false">Phasing!B22</f>
        <v>0.0942836149889787</v>
      </c>
      <c r="D23" s="9" t="n">
        <f aca="false">ROUND(C23-B23,6)</f>
        <v>0</v>
      </c>
      <c r="E23" s="5" t="str">
        <f aca="false">IF(ISNUMBER(C23),IF(ABS(D23)&lt;IF(ABS(B23)&lt;10,0.0000005,0.005),"PASS","CHECK"),"CHECK")</f>
        <v>PASS</v>
      </c>
    </row>
    <row r="24" customFormat="false" ht="15" hidden="false" customHeight="false" outlineLevel="0" collapsed="false">
      <c r="A24" s="20" t="s">
        <v>111</v>
      </c>
      <c r="B24" s="8" t="n">
        <v>64160000</v>
      </c>
      <c r="C24" s="8" t="n">
        <f aca="false">Phasing!B24</f>
        <v>64160000</v>
      </c>
      <c r="D24" s="8" t="n">
        <f aca="false">ROUND(C24-B24,6)</f>
        <v>0</v>
      </c>
      <c r="E24" s="5" t="str">
        <f aca="false">IF(ISNUMBER(C24),IF(ABS(D24)&lt;IF(ABS(B24)&lt;10,0.0000005,0.005),"PASS","CHECK"),"CHECK")</f>
        <v>PASS</v>
      </c>
    </row>
    <row r="25" customFormat="false" ht="15" hidden="false" customHeight="false" outlineLevel="0" collapsed="false">
      <c r="A25" s="20" t="s">
        <v>112</v>
      </c>
      <c r="B25" s="8" t="n">
        <v>852340000</v>
      </c>
      <c r="C25" s="8" t="n">
        <f aca="false">Phasing!B26</f>
        <v>852340000</v>
      </c>
      <c r="D25" s="8" t="n">
        <f aca="false">ROUND(C25-B25,6)</f>
        <v>0</v>
      </c>
      <c r="E25" s="5" t="str">
        <f aca="false">IF(ISNUMBER(C25),IF(ABS(D25)&lt;IF(ABS(B25)&lt;10,0.0000005,0.005),"PASS","CHECK"),"CHECK")</f>
        <v>PASS</v>
      </c>
    </row>
    <row r="26" customFormat="false" ht="15" hidden="false" customHeight="false" outlineLevel="0" collapsed="false">
      <c r="A26" s="20" t="s">
        <v>113</v>
      </c>
      <c r="B26" s="8" t="n">
        <v>12340000</v>
      </c>
      <c r="C26" s="8" t="n">
        <f aca="false">Phasing!B27</f>
        <v>12340000</v>
      </c>
      <c r="D26" s="8" t="n">
        <f aca="false">ROUND(C26-B26,6)</f>
        <v>0</v>
      </c>
      <c r="E26" s="5" t="str">
        <f aca="false">IF(ISNUMBER(C26),IF(ABS(D26)&lt;IF(ABS(B26)&lt;10,0.0000005,0.005),"PASS","CHECK"),"CHECK")</f>
        <v>PASS</v>
      </c>
    </row>
    <row r="27" customFormat="false" ht="15" hidden="false" customHeight="false" outlineLevel="0" collapsed="false">
      <c r="A27" s="20" t="s">
        <v>114</v>
      </c>
      <c r="B27" s="8" t="n">
        <v>77660000</v>
      </c>
      <c r="C27" s="8" t="n">
        <f aca="false">Phasing!B28</f>
        <v>77660000</v>
      </c>
      <c r="D27" s="8" t="n">
        <f aca="false">ROUND(C27-B27,6)</f>
        <v>0</v>
      </c>
      <c r="E27" s="5" t="str">
        <f aca="false">IF(ISNUMBER(C27),IF(ABS(D27)&lt;IF(ABS(B27)&lt;10,0.0000005,0.005),"PASS","CHECK"),"CHECK")</f>
        <v>PASS</v>
      </c>
    </row>
    <row r="28" customFormat="false" ht="15" hidden="false" customHeight="false" outlineLevel="0" collapsed="false">
      <c r="A28" s="20" t="s">
        <v>115</v>
      </c>
      <c r="B28" s="8" t="n">
        <v>13500000</v>
      </c>
      <c r="C28" s="8" t="n">
        <f aca="false">Phasing!B29</f>
        <v>13500000</v>
      </c>
      <c r="D28" s="8" t="n">
        <f aca="false">ROUND(C28-B28,6)</f>
        <v>0</v>
      </c>
      <c r="E28" s="5" t="str">
        <f aca="false">IF(ISNUMBER(C28),IF(ABS(D28)&lt;IF(ABS(B28)&lt;10,0.0000005,0.005),"PASS","CHECK"),"CHECK")</f>
        <v>PASS</v>
      </c>
    </row>
    <row r="29" customFormat="false" ht="15" hidden="false" customHeight="false" outlineLevel="0" collapsed="false">
      <c r="A29" s="20" t="s">
        <v>116</v>
      </c>
      <c r="B29" s="8" t="n">
        <v>22500000</v>
      </c>
      <c r="C29" s="8" t="n">
        <f aca="false">Phasing!B30</f>
        <v>22500000</v>
      </c>
      <c r="D29" s="8" t="n">
        <f aca="false">ROUND(C29-B29,6)</f>
        <v>0</v>
      </c>
      <c r="E29" s="5" t="str">
        <f aca="false">IF(ISNUMBER(C29),IF(ABS(D29)&lt;IF(ABS(B29)&lt;10,0.0000005,0.005),"PASS","CHECK"),"CHECK")</f>
        <v>PASS</v>
      </c>
    </row>
    <row r="30" customFormat="false" ht="15" hidden="false" customHeight="false" outlineLevel="0" collapsed="false">
      <c r="A30" s="20" t="s">
        <v>117</v>
      </c>
      <c r="B30" s="18" t="n">
        <v>767</v>
      </c>
      <c r="C30" s="18" t="n">
        <f aca="false">'Budget Cost'!B13</f>
        <v>767</v>
      </c>
      <c r="D30" s="18" t="n">
        <f aca="false">ROUND(C30-B30,6)</f>
        <v>0</v>
      </c>
      <c r="E30" s="5" t="str">
        <f aca="false">IF(ISNUMBER(C30),IF(ABS(D30)&lt;IF(ABS(B30)&lt;10,0.0000005,0.005),"PASS","CHECK"),"CHECK")</f>
        <v>PASS</v>
      </c>
    </row>
    <row r="31" customFormat="false" ht="15" hidden="false" customHeight="false" outlineLevel="0" collapsed="false">
      <c r="A31" s="20" t="s">
        <v>118</v>
      </c>
      <c r="B31" s="8" t="n">
        <v>475540</v>
      </c>
      <c r="C31" s="8" t="n">
        <f aca="false">'Budget Cost'!B14</f>
        <v>475540</v>
      </c>
      <c r="D31" s="8" t="n">
        <f aca="false">ROUND(C31-B31,6)</f>
        <v>0</v>
      </c>
      <c r="E31" s="5" t="str">
        <f aca="false">IF(ISNUMBER(C31),IF(ABS(D31)&lt;IF(ABS(B31)&lt;10,0.0000005,0.005),"PASS","CHECK"),"CHECK")</f>
        <v>PASS</v>
      </c>
    </row>
    <row r="32" customFormat="false" ht="15" hidden="false" customHeight="false" outlineLevel="0" collapsed="false">
      <c r="A32" s="20" t="s">
        <v>119</v>
      </c>
      <c r="B32" s="9" t="n">
        <v>0.00510498969426314</v>
      </c>
      <c r="C32" s="9" t="n">
        <f aca="false">'Budget Cost'!B15</f>
        <v>0.00510498969426314</v>
      </c>
      <c r="D32" s="9" t="n">
        <f aca="false">ROUND(C32-B32,6)</f>
        <v>0</v>
      </c>
      <c r="E32" s="5" t="str">
        <f aca="false">IF(ISNUMBER(C32),IF(ABS(D32)&lt;IF(ABS(B32)&lt;10,0.0000005,0.005),"PASS","CHECK"),"CHECK")</f>
        <v>PASS</v>
      </c>
    </row>
    <row r="33" customFormat="false" ht="15" hidden="false" customHeight="false" outlineLevel="0" collapsed="false">
      <c r="A33" s="20" t="s">
        <v>120</v>
      </c>
      <c r="B33" s="8" t="n">
        <v>566.119047619048</v>
      </c>
      <c r="C33" s="8" t="n">
        <f aca="false">'Budget Cost'!B16</f>
        <v>566.119047619048</v>
      </c>
      <c r="D33" s="8" t="n">
        <f aca="false">ROUND(C33-B33,6)</f>
        <v>0</v>
      </c>
      <c r="E33" s="5" t="str">
        <f aca="false">IF(ISNUMBER(C33),IF(ABS(D33)&lt;IF(ABS(B33)&lt;10,0.0000005,0.005),"PASS","CHECK"),"CHECK")</f>
        <v>PASS</v>
      </c>
    </row>
    <row r="34" customFormat="false" ht="15" hidden="false" customHeight="false" outlineLevel="0" collapsed="false">
      <c r="A34" s="20" t="s">
        <v>121</v>
      </c>
      <c r="B34" s="8" t="n">
        <v>36580</v>
      </c>
      <c r="C34" s="8" t="n">
        <f aca="false">'Budget Cost'!B17</f>
        <v>36580</v>
      </c>
      <c r="D34" s="8" t="n">
        <f aca="false">ROUND(C34-B34,6)</f>
        <v>0</v>
      </c>
      <c r="E34" s="5" t="str">
        <f aca="false">IF(ISNUMBER(C34),IF(ABS(D34)&lt;IF(ABS(B34)&lt;10,0.0000005,0.005),"PASS","CHECK"),"CHECK")</f>
        <v>PASS</v>
      </c>
    </row>
    <row r="35" customFormat="false" ht="15" hidden="false" customHeight="false" outlineLevel="0" collapsed="false">
      <c r="A35" s="20" t="s">
        <v>122</v>
      </c>
      <c r="B35" s="8" t="n">
        <v>47554</v>
      </c>
      <c r="C35" s="8" t="n">
        <f aca="false">'Budget Cost'!B18</f>
        <v>47554</v>
      </c>
      <c r="D35" s="8" t="n">
        <f aca="false">ROUND(C35-B35,6)</f>
        <v>0</v>
      </c>
      <c r="E35" s="5" t="str">
        <f aca="false">IF(ISNUMBER(C35),IF(ABS(D35)&lt;IF(ABS(B35)&lt;10,0.0000005,0.005),"PASS","CHECK"),"CHECK")</f>
        <v>PASS</v>
      </c>
    </row>
    <row r="36" customFormat="false" ht="15" hidden="false" customHeight="false" outlineLevel="0" collapsed="false">
      <c r="A36" s="20" t="s">
        <v>123</v>
      </c>
      <c r="B36" s="19" t="n">
        <v>12.51629726206</v>
      </c>
      <c r="C36" s="19" t="n">
        <f aca="false">'Budget Cost'!B20</f>
        <v>12.51629726206</v>
      </c>
      <c r="D36" s="19" t="n">
        <f aca="false">ROUND(C36-B36,6)</f>
        <v>0</v>
      </c>
      <c r="E36" s="5" t="str">
        <f aca="false">IF(ISNUMBER(C36),IF(ABS(D36)&lt;IF(ABS(B36)&lt;10,0.0000005,0.005),"PASS","CHECK"),"CHECK")</f>
        <v>PASS</v>
      </c>
    </row>
    <row r="37" customFormat="false" ht="15" hidden="false" customHeight="false" outlineLevel="0" collapsed="false">
      <c r="A37" s="20" t="s">
        <v>124</v>
      </c>
      <c r="B37" s="9" t="n">
        <v>0.269230769230769</v>
      </c>
      <c r="C37" s="9" t="n">
        <f aca="false">'Budget Cost'!B21</f>
        <v>0.269230769230769</v>
      </c>
      <c r="D37" s="9" t="n">
        <f aca="false">ROUND(C37-B37,6)</f>
        <v>0</v>
      </c>
      <c r="E37" s="5" t="str">
        <f aca="false">IF(ISNUMBER(C37),IF(ABS(D37)&lt;IF(ABS(B37)&lt;10,0.0000005,0.005),"PASS","CHECK"),"CHECK")</f>
        <v>PASS</v>
      </c>
    </row>
    <row r="38" customFormat="false" ht="15" hidden="false" customHeight="false" outlineLevel="0" collapsed="false">
      <c r="A38" s="20" t="s">
        <v>125</v>
      </c>
      <c r="B38" s="9" t="n">
        <v>0.0928571428571429</v>
      </c>
      <c r="C38" s="9" t="n">
        <f aca="false">'Budget Cost'!B23</f>
        <v>0.0928571428571429</v>
      </c>
      <c r="D38" s="9" t="n">
        <f aca="false">ROUND(C38-B38,6)</f>
        <v>0</v>
      </c>
      <c r="E38" s="5" t="str">
        <f aca="false">IF(ISNUMBER(C38),IF(ABS(D38)&lt;IF(ABS(B38)&lt;10,0.0000005,0.005),"PASS","CHECK"),"CHECK")</f>
        <v>PASS</v>
      </c>
    </row>
    <row r="39" customFormat="false" ht="15" hidden="false" customHeight="false" outlineLevel="0" collapsed="false">
      <c r="A39" s="20" t="s">
        <v>126</v>
      </c>
      <c r="B39" s="8" t="n">
        <v>73160</v>
      </c>
      <c r="C39" s="8" t="n">
        <f aca="false">'Budget Cost'!B24</f>
        <v>73160</v>
      </c>
      <c r="D39" s="8" t="n">
        <f aca="false">ROUND(C39-B39,6)</f>
        <v>0</v>
      </c>
      <c r="E39" s="5" t="str">
        <f aca="false">IF(ISNUMBER(C39),IF(ABS(D39)&lt;IF(ABS(B39)&lt;10,0.0000005,0.005),"PASS","CHECK"),"CHECK")</f>
        <v>PASS</v>
      </c>
    </row>
    <row r="41" customFormat="false" ht="15" hidden="false" customHeight="false" outlineLevel="0" collapsed="false">
      <c r="A41" s="5" t="s">
        <v>127</v>
      </c>
      <c r="D41" s="5" t="str">
        <f aca="false">COUNTIF(E5:E39,"PASS")&amp;" / 35"</f>
        <v>35 / 35</v>
      </c>
      <c r="E41" s="5" t="str">
        <f aca="false">IF(COUNTIF(E5:E39,"PASS")=35,"ALL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2026-09-08T23:01:43Z</dcterms:created>
  <dc:creator>openpyxl</dc:creator>
  <dc:description/>
  <dc:language>en-US</dc:language>
  <cp:lastModifiedBy/>
  <dcterms:modified xsi:type="dcterms:W3CDTF">2026-09-24T01:50:44Z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