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Marks" sheetId="3" state="visible" r:id="rId5"/>
    <sheet name="Margin" sheetId="4" state="visible" r:id="rId6"/>
    <sheet name="Four readings" sheetId="5" state="visible" r:id="rId7"/>
    <sheet name="Checks" sheetId="6" state="visible" r:id="rId8"/>
  </sheets>
  <definedNames>
    <definedName function="false" hidden="false" name="AFS" vbProcedure="false">Inputs!$B$10</definedName>
    <definedName function="false" hidden="false" name="AOCI0" vbProcedure="false">Inputs!$B$57</definedName>
    <definedName function="false" hidden="false" name="AOCI0_N" vbProcedure="false">'Four readings'!$B$8</definedName>
    <definedName function="false" hidden="false" name="ASSETS1" vbProcedure="false">'Four readings'!$B$13</definedName>
    <definedName function="false" hidden="false" name="BETA_SAV" vbProcedure="false">Inputs!$B$46</definedName>
    <definedName function="false" hidden="false" name="BETA_TEST" vbProcedure="false">Inputs!$B$80</definedName>
    <definedName function="false" hidden="false" name="BETA_TIME" vbProcedure="false">Inputs!$B$47</definedName>
    <definedName function="false" hidden="false" name="BRIDGE_EVE" vbProcedure="false">'Four readings'!$B$45</definedName>
    <definedName function="false" hidden="false" name="CASH" vbProcedure="false">Inputs!$B$9</definedName>
    <definedName function="false" hidden="false" name="CDI_LIFE" vbProcedure="false">Inputs!$B$83</definedName>
    <definedName function="false" hidden="false" name="CET1_0" vbProcedure="false">'Four readings'!$B$9</definedName>
    <definedName function="false" hidden="false" name="CET1_1" vbProcedure="false">'Four readings'!$B$11</definedName>
    <definedName function="false" hidden="false" name="CET1_2" vbProcedure="false">'Four readings'!$B$12</definedName>
    <definedName function="false" hidden="false" name="CVX_AFS" vbProcedure="false">Inputs!$B$41</definedName>
    <definedName function="false" hidden="false" name="CVX_FIX" vbProcedure="false">Inputs!$B$43</definedName>
    <definedName function="false" hidden="false" name="CVX_HTM" vbProcedure="false">Inputs!$B$42</definedName>
    <definedName function="false" hidden="false" name="C_FHLB" vbProcedure="false">Inputs!$B$34</definedName>
    <definedName function="false" hidden="false" name="C_FHLB1" vbProcedure="false">Margin!$B$19</definedName>
    <definedName function="false" hidden="false" name="C_SAV" vbProcedure="false">Inputs!$B$32</definedName>
    <definedName function="false" hidden="false" name="C_SAV1" vbProcedure="false">Margin!$B$17</definedName>
    <definedName function="false" hidden="false" name="C_SUB" vbProcedure="false">Inputs!$B$35</definedName>
    <definedName function="false" hidden="false" name="C_TIME" vbProcedure="false">Inputs!$B$33</definedName>
    <definedName function="false" hidden="false" name="C_TIME1" vbProcedure="false">Margin!$B$18</definedName>
    <definedName function="false" hidden="false" name="D1" vbProcedure="false">'Four readings'!$B$29</definedName>
    <definedName function="false" hidden="false" name="D2" vbProcedure="false">'Four readings'!$B$30</definedName>
    <definedName function="false" hidden="false" name="D3" vbProcedure="false">'Four readings'!$B$31</definedName>
    <definedName function="false" hidden="false" name="D4" vbProcedure="false">'Four readings'!$B$32</definedName>
    <definedName function="false" hidden="false" name="DENSITY" vbProcedure="false">'Four readings'!$B$33</definedName>
    <definedName function="false" hidden="false" name="DEP_LIFE" vbProcedure="false">Inputs!$B$45</definedName>
    <definedName function="false" hidden="false" name="DEP_NIB" vbProcedure="false">Inputs!$B$16</definedName>
    <definedName function="false" hidden="false" name="DEP_SAV" vbProcedure="false">Inputs!$B$17</definedName>
    <definedName function="false" hidden="false" name="DEP_TIME" vbProcedure="false">Inputs!$B$18</definedName>
    <definedName function="false" hidden="false" name="DIVIDEND" vbProcedure="false">Inputs!$B$54</definedName>
    <definedName function="false" hidden="false" name="DUR_AFS" vbProcedure="false">Inputs!$B$38</definedName>
    <definedName function="false" hidden="false" name="DUR_FHLB" vbProcedure="false">Inputs!$B$71</definedName>
    <definedName function="false" hidden="false" name="DUR_FIX" vbProcedure="false">Inputs!$B$40</definedName>
    <definedName function="false" hidden="false" name="DUR_HTM" vbProcedure="false">Inputs!$B$39</definedName>
    <definedName function="false" hidden="false" name="DUR_SUB" vbProcedure="false">Inputs!$B$72</definedName>
    <definedName function="false" hidden="false" name="DUR_TIME" vbProcedure="false">Inputs!$B$44</definedName>
    <definedName function="false" hidden="false" name="EARNING" vbProcedure="false">Margin!$B$12</definedName>
    <definedName function="false" hidden="false" name="EQUITY" vbProcedure="false">Inputs!$B$22</definedName>
    <definedName function="false" hidden="false" name="EQUITY1" vbProcedure="false">'Four readings'!$B$10</definedName>
    <definedName function="false" hidden="false" name="EVE" vbProcedure="false">'Four readings'!$B$16</definedName>
    <definedName function="false" hidden="false" name="EVE_BASE" vbProcedure="false">'Four readings'!$B$17</definedName>
    <definedName function="false" hidden="false" name="EXP0" vbProcedure="false">Margin!$B$10</definedName>
    <definedName function="false" hidden="false" name="EXP1" vbProcedure="false">Margin!$B$21</definedName>
    <definedName function="false" hidden="false" name="FEES" vbProcedure="false">Inputs!$B$52</definedName>
    <definedName function="false" hidden="false" name="FHLB" vbProcedure="false">Inputs!$B$19</definedName>
    <definedName function="false" hidden="false" name="FHLB_CAP" vbProcedure="false">Inputs!$B$63</definedName>
    <definedName function="false" hidden="false" name="FLOOR_LVL" vbProcedure="false">Inputs!$B$77</definedName>
    <definedName function="false" hidden="false" name="FLOOR_SHARE" vbProcedure="false">Inputs!$B$76</definedName>
    <definedName function="false" hidden="false" name="FRANCHISE_N" vbProcedure="false">Marks!$B$20</definedName>
    <definedName function="false" hidden="false" name="FTP_MAXDUR" vbProcedure="false">Inputs!$B$70</definedName>
    <definedName function="false" hidden="false" name="FTP_SLOPE" vbProcedure="false">Inputs!$B$69</definedName>
    <definedName function="false" hidden="false" name="GAP_1_3" vbProcedure="false">'Four readings'!$B$25</definedName>
    <definedName function="false" hidden="false" name="GOODWILL" vbProcedure="false">Inputs!$B$15</definedName>
    <definedName function="false" hidden="false" name="HAIRCUT_AFS" vbProcedure="false">Inputs!$B$61</definedName>
    <definedName function="false" hidden="false" name="HAIRCUT_HTM" vbProcedure="false">Inputs!$B$62</definedName>
    <definedName function="false" hidden="false" name="HTM" vbProcedure="false">Inputs!$B$11</definedName>
    <definedName function="false" hidden="false" name="INC0" vbProcedure="false">Margin!$B$9</definedName>
    <definedName function="false" hidden="false" name="INC1" vbProcedure="false">Margin!$B$20</definedName>
    <definedName function="false" hidden="false" name="LOANS_FIX" vbProcedure="false">Inputs!$B$12</definedName>
    <definedName function="false" hidden="false" name="LOANS_FLT" vbProcedure="false">Inputs!$B$13</definedName>
    <definedName function="false" hidden="false" name="MKT0" vbProcedure="false">Inputs!$B$25</definedName>
    <definedName function="false" hidden="false" name="MV_AFS" vbProcedure="false">Marks!$B$13</definedName>
    <definedName function="false" hidden="false" name="MV_AFS_N" vbProcedure="false">Marks!$B$16</definedName>
    <definedName function="false" hidden="false" name="MV_FIX" vbProcedure="false">Marks!$B$15</definedName>
    <definedName function="false" hidden="false" name="MV_FIX_N" vbProcedure="false">Marks!$B$18</definedName>
    <definedName function="false" hidden="false" name="MV_HTM" vbProcedure="false">Marks!$B$14</definedName>
    <definedName function="false" hidden="false" name="MV_HTM_N" vbProcedure="false">Marks!$B$17</definedName>
    <definedName function="false" hidden="false" name="MV_TIME_N" vbProcedure="false">Marks!$B$19</definedName>
    <definedName function="false" hidden="false" name="NET_INCOME" vbProcedure="false">Margin!$B$27</definedName>
    <definedName function="false" hidden="false" name="NII0" vbProcedure="false">Margin!$B$11</definedName>
    <definedName function="false" hidden="false" name="NII1" vbProcedure="false">Margin!$B$22</definedName>
    <definedName function="false" hidden="false" name="NIM0" vbProcedure="false">Margin!$B$13</definedName>
    <definedName function="false" hidden="false" name="NIM1" vbProcedure="false">Margin!$B$23</definedName>
    <definedName function="false" hidden="false" name="OPEX" vbProcedure="false">Inputs!$B$51</definedName>
    <definedName function="false" hidden="false" name="OPEX_DEP" vbProcedure="false">Inputs!$B$73</definedName>
    <definedName function="false" hidden="false" name="OTHER_ASSETS" vbProcedure="false">Inputs!$B$14</definedName>
    <definedName function="false" hidden="false" name="OTHER_LIAB" vbProcedure="false">Inputs!$B$21</definedName>
    <definedName function="false" hidden="false" name="OUT_FAST" vbProcedure="false">Inputs!$B$65</definedName>
    <definedName function="false" hidden="false" name="OUT_SLOW" vbProcedure="false">Inputs!$B$64</definedName>
    <definedName function="false" hidden="false" name="PBT" vbProcedure="false">Margin!$B$26</definedName>
    <definedName function="false" hidden="false" name="PROVISION" vbProcedure="false">Inputs!$B$53</definedName>
    <definedName function="false" hidden="false" name="PX_AFS" vbProcedure="false">Marks!$B$8</definedName>
    <definedName function="false" hidden="false" name="PX_FIX" vbProcedure="false">Marks!$B$10</definedName>
    <definedName function="false" hidden="false" name="PX_HTM" vbProcedure="false">Marks!$B$9</definedName>
    <definedName function="false" hidden="false" name="R1" vbProcedure="false">'Four readings'!$B$20</definedName>
    <definedName function="false" hidden="false" name="R1_OPEN" vbProcedure="false">'Four readings'!$B$24</definedName>
    <definedName function="false" hidden="false" name="R2" vbProcedure="false">'Four readings'!$B$21</definedName>
    <definedName function="false" hidden="false" name="R3" vbProcedure="false">'Four readings'!$B$22</definedName>
    <definedName function="false" hidden="false" name="R4" vbProcedure="false">'Four readings'!$B$23</definedName>
    <definedName function="false" hidden="false" name="RESET_LAG" vbProcedure="false">Inputs!$B$79</definedName>
    <definedName function="false" hidden="false" name="RESET_SHARE" vbProcedure="false">Inputs!$B$78</definedName>
    <definedName function="false" hidden="false" name="RETAINED" vbProcedure="false">Margin!$B$28</definedName>
    <definedName function="false" hidden="false" name="RWA0" vbProcedure="false">Inputs!$B$55</definedName>
    <definedName function="false" hidden="false" name="RWA1" vbProcedure="false">Inputs!$B$56</definedName>
    <definedName function="false" hidden="false" name="SHOCK" vbProcedure="false">Inputs!$B$26</definedName>
    <definedName function="false" hidden="false" name="SPREAD_FLT" vbProcedure="false">Inputs!$B$31</definedName>
    <definedName function="false" hidden="false" name="SUBDEBT" vbProcedure="false">Inputs!$B$20</definedName>
    <definedName function="false" hidden="false" name="TANG_ASSETS" vbProcedure="false">'Four readings'!$B$15</definedName>
    <definedName function="false" hidden="false" name="TAX" vbProcedure="false">Inputs!$B$48</definedName>
    <definedName function="false" hidden="false" name="TCE" vbProcedure="false">'Four readings'!$B$14</definedName>
    <definedName function="false" hidden="false" name="TOT_ASSETS" vbProcedure="false">Inputs!$B$87</definedName>
    <definedName function="false" hidden="false" name="TOT_LIAB" vbProcedure="false">Inputs!$B$88</definedName>
    <definedName function="false" hidden="false" name="UNINS_SHARE" vbProcedure="false">Inputs!$B$60</definedName>
    <definedName function="false" hidden="false" name="WELLCAP" vbProcedure="false">Inputs!$B$66</definedName>
    <definedName function="false" hidden="false" name="Y_AFS" vbProcedure="false">Inputs!$B$28</definedName>
    <definedName function="false" hidden="false" name="Y_CASH" vbProcedure="false">Inputs!$B$27</definedName>
    <definedName function="false" hidden="false" name="Y_FIX" vbProcedure="false">Inputs!$B$30</definedName>
    <definedName function="false" hidden="false" name="Y_FLT0" vbProcedure="false">Margin!$B$8</definedName>
    <definedName function="false" hidden="false" name="Y_FLT1" vbProcedure="false">Margin!$B$16</definedName>
    <definedName function="false" hidden="false" name="Y_HTM" vbProcedure="false">Inputs!$B$29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<sst xmlns="http://schemas.openxmlformats.org/spreadsheetml/2006/main" count="297" uniqueCount="267">
  <si>
    <t xml:space="preserve">The Four Readings of Capital</t>
  </si>
  <si>
    <t xml:space="preserve">Workbook one of four — Bank Management, Julian R. Sterling</t>
  </si>
  <si>
    <t xml:space="preserve">What this workbook is</t>
  </si>
  <si>
    <t xml:space="preserve">This workbook takes a balance sheet, a rate shock, the durations and the tax rate, and returns all four capital readings at once — published, AFS-recognised, tangible, and economic — on both denominators, with the bridge between the first and the fourth closing to the dollar.</t>
  </si>
  <si>
    <t xml:space="preserve">It is the exhibit chapter twenty-seven says belongs at the front of every asset and liability committee pack. For a real bank it takes about twenty minutes to fill in, and the twenty minutes are the entire argument of the book.</t>
  </si>
  <si>
    <t xml:space="preserve">The sheets</t>
  </si>
  <si>
    <t xml:space="preserve">Inputs — the only cells you type</t>
  </si>
  <si>
    <t xml:space="preserve">Marks — what the shock does to prices</t>
  </si>
  <si>
    <t xml:space="preserve">Margin — the year's profit, because retained earnings feed capital</t>
  </si>
  <si>
    <t xml:space="preserve">Four readings — the four numbers, and the distance between them</t>
  </si>
  <si>
    <t xml:space="preserve">Checks — each printed figure against the live formula</t>
  </si>
  <si>
    <t xml:space="preserve">How to use it on your own bank</t>
  </si>
  <si>
    <t xml:space="preserve">Replace the shaded cells on Inputs with your own figures. Nothing else is typed anywhere in this file: every other cell is a formula, so the whole workbook follows. Start with the balance sheet, then the yields, then the two assumptions that decide most of the answer — the deposit beta and the assumed life of non-maturity deposits.</t>
  </si>
  <si>
    <t xml:space="preserve">The Checks sheet compares each figure printed in the book with the figure this workbook computes on the book's own inputs. All checks should say PASS before you change anything. If one says FAIL after you have edited the inputs, that is expected — you are no longer looking at Sagebrook.</t>
  </si>
  <si>
    <t xml:space="preserve">A warning about two of the inputs</t>
  </si>
  <si>
    <t xml:space="preserve">The assumed deposit life and the deposit beta are judgments, not measurements. Chapter nine of the book prints the surface rather than the point. At its corners the deposit franchise differs by a factor of 6.86 (765,000 against 111,563), and economic equity runs from 608,716 to minus 44,722. Before quoting any figure this workbook produces, look at what it does when those two cells move.</t>
  </si>
  <si>
    <t xml:space="preserve">Revised 24 September 2026</t>
  </si>
  <si>
    <t xml:space="preserve">The page and the read-me of the archive promised the bridge from the first reading to the fourth; the first file did not carry it. It is now at the foot of the Four readings sheet: 639,600 of published capital, less 153,835 on the available-for-sale book, 328,875 on the held-to-maturity book and 319,543 on the fixed-rate loans, plus 6,369 on the time deposits and 435,094 of franchise, is 278,809, and the difference from the fourth reading computed directly is nought.</t>
  </si>
  <si>
    <t xml:space="preserve">The read-me no longer says the corners of the surface differ by a factor of seven: one of them is negative, so they have no ratio. It is the deposit franchise that differs by a factor of 6.86 between the corners, 765,000 against 111,563.</t>
  </si>
  <si>
    <t xml:space="preserve">Nine checks added, 26 in all. The key lines of every sheet are now set in bold; the first files printed two asterisks in front of them instead.</t>
  </si>
  <si>
    <t xml:space="preserve">Workbook 1 of four. Bank Management, Julian R. Sterling, 2026. julianrsterling.com/franchise</t>
  </si>
  <si>
    <t xml:space="preserve">Inputs</t>
  </si>
  <si>
    <t xml:space="preserve">Sagebrook National Bank. Every shaded cell is yours to change; every other figure in this workbook follows.</t>
  </si>
  <si>
    <t xml:space="preserve">Amounts in thousands of dollars. The book's own figures are the values typed here, and the Checks sheet compares them line by line.</t>
  </si>
  <si>
    <t xml:space="preserve">The balance sheet, in thousands of dollars</t>
  </si>
  <si>
    <t xml:space="preserve">Cash and equivalents</t>
  </si>
  <si>
    <t xml:space="preserve">CASH</t>
  </si>
  <si>
    <t xml:space="preserve">Securities, available for sale</t>
  </si>
  <si>
    <t xml:space="preserve">AFS</t>
  </si>
  <si>
    <t xml:space="preserve">Securities, held to maturity</t>
  </si>
  <si>
    <t xml:space="preserve">HTM</t>
  </si>
  <si>
    <t xml:space="preserve">Loans, fixed rate</t>
  </si>
  <si>
    <t xml:space="preserve">LOANS_FIX</t>
  </si>
  <si>
    <t xml:space="preserve">Loans, floating rate</t>
  </si>
  <si>
    <t xml:space="preserve">LOANS_FLT</t>
  </si>
  <si>
    <t xml:space="preserve">Other assets</t>
  </si>
  <si>
    <t xml:space="preserve">OTHER_ASSETS</t>
  </si>
  <si>
    <t xml:space="preserve">   of which goodwill</t>
  </si>
  <si>
    <t xml:space="preserve">GOODWILL</t>
  </si>
  <si>
    <t xml:space="preserve">Deposits, non-interest-bearing</t>
  </si>
  <si>
    <t xml:space="preserve">DEP_NIB</t>
  </si>
  <si>
    <t xml:space="preserve">Deposits, savings and interest-bearing</t>
  </si>
  <si>
    <t xml:space="preserve">DEP_SAV</t>
  </si>
  <si>
    <t xml:space="preserve">Deposits, time</t>
  </si>
  <si>
    <t xml:space="preserve">DEP_TIME</t>
  </si>
  <si>
    <t xml:space="preserve">FHLB advances</t>
  </si>
  <si>
    <t xml:space="preserve">FHLB</t>
  </si>
  <si>
    <t xml:space="preserve">Subordinated debt</t>
  </si>
  <si>
    <t xml:space="preserve">SUBDEBT</t>
  </si>
  <si>
    <t xml:space="preserve">Other liabilities</t>
  </si>
  <si>
    <t xml:space="preserve">OTHER_LIAB</t>
  </si>
  <si>
    <t xml:space="preserve">Common equity, opening</t>
  </si>
  <si>
    <t xml:space="preserve">EQUITY</t>
  </si>
  <si>
    <t xml:space="preserve">Rates</t>
  </si>
  <si>
    <t xml:space="preserve">Market rate, year 0</t>
  </si>
  <si>
    <t xml:space="preserve">MKT0</t>
  </si>
  <si>
    <t xml:space="preserve">Rate shock over the year</t>
  </si>
  <si>
    <t xml:space="preserve">SHOCK</t>
  </si>
  <si>
    <t xml:space="preserve">Yield on cash</t>
  </si>
  <si>
    <t xml:space="preserve">Y_CASH</t>
  </si>
  <si>
    <t xml:space="preserve">Yield on available-for-sale securities</t>
  </si>
  <si>
    <t xml:space="preserve">Y_AFS</t>
  </si>
  <si>
    <t xml:space="preserve">Yield on held-to-maturity securities</t>
  </si>
  <si>
    <t xml:space="preserve">Y_HTM</t>
  </si>
  <si>
    <t xml:space="preserve">Yield on fixed-rate loans</t>
  </si>
  <si>
    <t xml:space="preserve">Y_FIX</t>
  </si>
  <si>
    <t xml:space="preserve">Spread over the index on floating loans</t>
  </si>
  <si>
    <t xml:space="preserve">SPREAD_FLT</t>
  </si>
  <si>
    <t xml:space="preserve">Cost of savings deposits, year 0</t>
  </si>
  <si>
    <t xml:space="preserve">C_SAV</t>
  </si>
  <si>
    <t xml:space="preserve">Cost of time deposits, year 0</t>
  </si>
  <si>
    <t xml:space="preserve">C_TIME</t>
  </si>
  <si>
    <t xml:space="preserve">Cost of FHLB advances, year 0</t>
  </si>
  <si>
    <t xml:space="preserve">C_FHLB</t>
  </si>
  <si>
    <t xml:space="preserve">Cost of subordinated debt</t>
  </si>
  <si>
    <t xml:space="preserve">C_SUB</t>
  </si>
  <si>
    <t xml:space="preserve">Behaviour and price sensitivity</t>
  </si>
  <si>
    <t xml:space="preserve">Duration, available for sale</t>
  </si>
  <si>
    <t xml:space="preserve">DUR_AFS</t>
  </si>
  <si>
    <t xml:space="preserve">Duration, held to maturity</t>
  </si>
  <si>
    <t xml:space="preserve">DUR_HTM</t>
  </si>
  <si>
    <t xml:space="preserve">Duration, fixed-rate loans</t>
  </si>
  <si>
    <t xml:space="preserve">DUR_FIX</t>
  </si>
  <si>
    <t xml:space="preserve">Convexity, available for sale</t>
  </si>
  <si>
    <t xml:space="preserve">CVX_AFS</t>
  </si>
  <si>
    <t xml:space="preserve">Convexity, held to maturity</t>
  </si>
  <si>
    <t xml:space="preserve">CVX_HTM</t>
  </si>
  <si>
    <t xml:space="preserve">Convexity, fixed-rate loans</t>
  </si>
  <si>
    <t xml:space="preserve">CVX_FIX</t>
  </si>
  <si>
    <t xml:space="preserve">Duration, time deposits</t>
  </si>
  <si>
    <t xml:space="preserve">DUR_TIME</t>
  </si>
  <si>
    <t xml:space="preserve">Assumed life of non-maturity deposits, years</t>
  </si>
  <si>
    <t xml:space="preserve">DEP_LIFE</t>
  </si>
  <si>
    <t xml:space="preserve">Deposit beta, savings</t>
  </si>
  <si>
    <t xml:space="preserve">BETA_SAV</t>
  </si>
  <si>
    <t xml:space="preserve">Deposit beta, time deposits</t>
  </si>
  <si>
    <t xml:space="preserve">BETA_TIME</t>
  </si>
  <si>
    <t xml:space="preserve">Tax rate</t>
  </si>
  <si>
    <t xml:space="preserve">TAX</t>
  </si>
  <si>
    <t xml:space="preserve">The year's profit, and capital</t>
  </si>
  <si>
    <t xml:space="preserve">Operating expenses</t>
  </si>
  <si>
    <t xml:space="preserve">OPEX</t>
  </si>
  <si>
    <t xml:space="preserve">Fee and other income</t>
  </si>
  <si>
    <t xml:space="preserve">FEES</t>
  </si>
  <si>
    <t xml:space="preserve">Provision for credit losses</t>
  </si>
  <si>
    <t xml:space="preserve">PROVISION</t>
  </si>
  <si>
    <t xml:space="preserve">Dividends paid</t>
  </si>
  <si>
    <t xml:space="preserve">DIVIDEND</t>
  </si>
  <si>
    <t xml:space="preserve">Risk-weighted assets, opening</t>
  </si>
  <si>
    <t xml:space="preserve">RWA0</t>
  </si>
  <si>
    <t xml:space="preserve">Risk-weighted assets, year end</t>
  </si>
  <si>
    <t xml:space="preserve">RWA1</t>
  </si>
  <si>
    <t xml:space="preserve">Opening AOCI, gross of tax</t>
  </si>
  <si>
    <t xml:space="preserve">AOCI0</t>
  </si>
  <si>
    <t xml:space="preserve">Liquidity</t>
  </si>
  <si>
    <t xml:space="preserve">Share of deposits above the insurance limit</t>
  </si>
  <si>
    <t xml:space="preserve">UNINS_SHARE</t>
  </si>
  <si>
    <t xml:space="preserve">Haircut on pledged AFS securities</t>
  </si>
  <si>
    <t xml:space="preserve">HAIRCUT_AFS</t>
  </si>
  <si>
    <t xml:space="preserve">Haircut on pledged HTM securities</t>
  </si>
  <si>
    <t xml:space="preserve">HAIRCUT_HTM</t>
  </si>
  <si>
    <t xml:space="preserve">Total FHLB borrowing capacity</t>
  </si>
  <si>
    <t xml:space="preserve">FHLB_CAP</t>
  </si>
  <si>
    <t xml:space="preserve">Deposit outflow, slow scenario, per day</t>
  </si>
  <si>
    <t xml:space="preserve">OUT_SLOW</t>
  </si>
  <si>
    <t xml:space="preserve">Deposit outflow, fast scenario, per day</t>
  </si>
  <si>
    <t xml:space="preserve">OUT_FAST</t>
  </si>
  <si>
    <t xml:space="preserve">Well-capitalized CET1 threshold</t>
  </si>
  <si>
    <t xml:space="preserve">WELLCAP</t>
  </si>
  <si>
    <t xml:space="preserve">Funds transfer pricing</t>
  </si>
  <si>
    <t xml:space="preserve">Internal curve, per year of duration</t>
  </si>
  <si>
    <t xml:space="preserve">FTP_SLOPE</t>
  </si>
  <si>
    <t xml:space="preserve">Internal curve, flat beyond this duration</t>
  </si>
  <si>
    <t xml:space="preserve">FTP_MAXDUR</t>
  </si>
  <si>
    <t xml:space="preserve">Duration, FHLB advances</t>
  </si>
  <si>
    <t xml:space="preserve">DUR_FHLB</t>
  </si>
  <si>
    <t xml:space="preserve">Duration, subordinated debt</t>
  </si>
  <si>
    <t xml:space="preserve">DUR_SUB</t>
  </si>
  <si>
    <t xml:space="preserve">Share of expenses charged to deposit gathering</t>
  </si>
  <si>
    <t xml:space="preserve">OPEX_DEP</t>
  </si>
  <si>
    <t xml:space="preserve">The floating book, as written</t>
  </si>
  <si>
    <t xml:space="preserve">Share of floating loans carrying a floor</t>
  </si>
  <si>
    <t xml:space="preserve">FLOOR_SHARE</t>
  </si>
  <si>
    <t xml:space="preserve">Average level of that floor</t>
  </si>
  <si>
    <t xml:space="preserve">FLOOR_LVL</t>
  </si>
  <si>
    <t xml:space="preserve">Share of floating loans resetting annually</t>
  </si>
  <si>
    <t xml:space="preserve">RESET_SHARE</t>
  </si>
  <si>
    <t xml:space="preserve">Average lag to the next reset, years</t>
  </si>
  <si>
    <t xml:space="preserve">RESET_LAG</t>
  </si>
  <si>
    <t xml:space="preserve">A deposit beta to test the year's profit against</t>
  </si>
  <si>
    <t xml:space="preserve">BETA_TEST</t>
  </si>
  <si>
    <t xml:space="preserve">What a buyer would pay</t>
  </si>
  <si>
    <t xml:space="preserve">Amortization life of the deposit intangible, years</t>
  </si>
  <si>
    <t xml:space="preserve">CDI_LIFE</t>
  </si>
  <si>
    <t xml:space="preserve">Two totals, so that an edit that unbalances the balance sheet is visible</t>
  </si>
  <si>
    <t xml:space="preserve">Total assets</t>
  </si>
  <si>
    <t xml:space="preserve">Total liabilities and equity</t>
  </si>
  <si>
    <t xml:space="preserve">Difference — must be zero</t>
  </si>
  <si>
    <t xml:space="preserve">If this is not zero the balance sheet does not balance, and nothing downstream means anything.</t>
  </si>
  <si>
    <t xml:space="preserve">The marks</t>
  </si>
  <si>
    <t xml:space="preserve">What the shock does to the price of everything the bank owns and owes.</t>
  </si>
  <si>
    <t xml:space="preserve">Price change under the shock, duration and convexity</t>
  </si>
  <si>
    <t xml:space="preserve">Price change, available for sale</t>
  </si>
  <si>
    <t xml:space="preserve">Price change, held to maturity</t>
  </si>
  <si>
    <t xml:space="preserve">Price change, fixed-rate loans</t>
  </si>
  <si>
    <t xml:space="preserve">The marks, gross and net of tax</t>
  </si>
  <si>
    <t xml:space="preserve">Available for sale, gross</t>
  </si>
  <si>
    <t xml:space="preserve">Held to maturity, gross</t>
  </si>
  <si>
    <t xml:space="preserve">Fixed-rate loans, gross</t>
  </si>
  <si>
    <t xml:space="preserve">Available for sale, net of tax</t>
  </si>
  <si>
    <t xml:space="preserve">Held to maturity, net of tax</t>
  </si>
  <si>
    <t xml:space="preserve">Fixed-rate loans, net of tax</t>
  </si>
  <si>
    <t xml:space="preserve">Time deposits, net of tax (a liability losing value is a gain)</t>
  </si>
  <si>
    <t xml:space="preserve">Deposit franchise, net of tax</t>
  </si>
  <si>
    <t xml:space="preserve">The margin and the year's profit</t>
  </si>
  <si>
    <t xml:space="preserve">Needed here because retained earnings feed the capital.</t>
  </si>
  <si>
    <t xml:space="preserve">The margin, year 0</t>
  </si>
  <si>
    <t xml:space="preserve">Yield on floating loans, year 0</t>
  </si>
  <si>
    <t xml:space="preserve">Interest income, year 0</t>
  </si>
  <si>
    <t xml:space="preserve">Interest expense, year 0</t>
  </si>
  <si>
    <t xml:space="preserve">Net interest income, year 0</t>
  </si>
  <si>
    <t xml:space="preserve">Earning assets</t>
  </si>
  <si>
    <t xml:space="preserve">Net interest margin, year 0</t>
  </si>
  <si>
    <t xml:space="preserve">The margin, year 1 — the shock year</t>
  </si>
  <si>
    <t xml:space="preserve">Yield on floating loans, year 1</t>
  </si>
  <si>
    <t xml:space="preserve">Cost of savings deposits, year 1</t>
  </si>
  <si>
    <t xml:space="preserve">Cost of time deposits, year 1</t>
  </si>
  <si>
    <t xml:space="preserve">Cost of FHLB advances, year 1</t>
  </si>
  <si>
    <t xml:space="preserve">Interest income, year 1</t>
  </si>
  <si>
    <t xml:space="preserve">Interest expense, year 1</t>
  </si>
  <si>
    <t xml:space="preserve">Net interest income, year 1</t>
  </si>
  <si>
    <t xml:space="preserve">Net interest margin, year 1</t>
  </si>
  <si>
    <t xml:space="preserve">The year's profit</t>
  </si>
  <si>
    <t xml:space="preserve">Pre-tax income</t>
  </si>
  <si>
    <t xml:space="preserve">Net income</t>
  </si>
  <si>
    <t xml:space="preserve">Retained</t>
  </si>
  <si>
    <t xml:space="preserve">The four readings of one balance sheet</t>
  </si>
  <si>
    <t xml:space="preserve">Same bank, same day, four defensible answers.</t>
  </si>
  <si>
    <t xml:space="preserve">The four readings</t>
  </si>
  <si>
    <t xml:space="preserve">Opening AOCI, net of tax</t>
  </si>
  <si>
    <t xml:space="preserve">CET1, opening</t>
  </si>
  <si>
    <t xml:space="preserve">Book common equity, year end</t>
  </si>
  <si>
    <t xml:space="preserve">Reading 1 — published CET1</t>
  </si>
  <si>
    <t xml:space="preserve">Reading 2 — CET1 with the AFS mark recognised</t>
  </si>
  <si>
    <t xml:space="preserve">Total assets, year end</t>
  </si>
  <si>
    <t xml:space="preserve">Reading 3 — tangible common equity</t>
  </si>
  <si>
    <t xml:space="preserve">Tangible assets, both marks</t>
  </si>
  <si>
    <t xml:space="preserve">Reading 4 — economic value of equity</t>
  </si>
  <si>
    <t xml:space="preserve">Its denominator, tangible assets marked</t>
  </si>
  <si>
    <t xml:space="preserve">The same four, as ratios</t>
  </si>
  <si>
    <t xml:space="preserve">Reading 1, on risk-weighted assets</t>
  </si>
  <si>
    <t xml:space="preserve">Reading 2, on risk-weighted assets</t>
  </si>
  <si>
    <t xml:space="preserve">Reading 3, on tangible assets</t>
  </si>
  <si>
    <t xml:space="preserve">Reading 4, on its own denominator</t>
  </si>
  <si>
    <t xml:space="preserve">Reading 1 at the start of the year</t>
  </si>
  <si>
    <t xml:space="preserve">The distance between reading 1 and reading 3</t>
  </si>
  <si>
    <t xml:space="preserve">All four on the single denominator of tangible assets</t>
  </si>
  <si>
    <t xml:space="preserve">Reading 1, on tangible assets</t>
  </si>
  <si>
    <t xml:space="preserve">Reading 2, on tangible assets</t>
  </si>
  <si>
    <t xml:space="preserve">Reading 4, on tangible assets</t>
  </si>
  <si>
    <t xml:space="preserve">Risk-weight density</t>
  </si>
  <si>
    <t xml:space="preserve">The bridge from the first reading to the fourth</t>
  </si>
  <si>
    <t xml:space="preserve">Reading 1, published CET1</t>
  </si>
  <si>
    <t xml:space="preserve">plus the available-for-sale mark, net of tax</t>
  </si>
  <si>
    <t xml:space="preserve">Reading 2, CET1 with the AFS mark recognised</t>
  </si>
  <si>
    <t xml:space="preserve">plus the held-to-maturity mark, net of tax</t>
  </si>
  <si>
    <t xml:space="preserve">Reading 3, tangible common equity</t>
  </si>
  <si>
    <t xml:space="preserve">plus the fixed-rate loan mark, net of tax</t>
  </si>
  <si>
    <t xml:space="preserve">plus the time deposits, net of tax</t>
  </si>
  <si>
    <t xml:space="preserve">plus the deposit franchise, net of tax</t>
  </si>
  <si>
    <t xml:space="preserve">Reading 4, economic value of equity, by the bridge</t>
  </si>
  <si>
    <t xml:space="preserve">Difference from reading 4 computed directly: must be zero</t>
  </si>
  <si>
    <t xml:space="preserve">Each step is one mark, so the bridge closes to the dollar on any balance sheet. The largest single step is the franchise, and it is the one nobody can observe.</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</si>
  <si>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</si>
  <si>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</si>
  <si>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</si>
  <si>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</si>
  <si>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</si>
  <si>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</si>
  <si>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</si>
  <si>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</si>
  <si>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</si>
  <si>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t>
  </si>
  <si>
    <t xml:space="preserve">Reading 1 — published CET1 ratio</t>
  </si>
  <si>
    <t xml:space="preserve">The published ratio at the start of the year</t>
  </si>
  <si>
    <t xml:space="preserve">Published CET1 capital</t>
  </si>
  <si>
    <t xml:space="preserve">Tangible common equity</t>
  </si>
  <si>
    <t xml:space="preserve">Economic value of equity</t>
  </si>
  <si>
    <t xml:space="preserve">2</t>
  </si>
  <si>
    <t xml:space="preserve">Unrealized loss, available for sale, gross</t>
  </si>
  <si>
    <t xml:space="preserve">Unrealized loss, held to maturity, gross</t>
  </si>
  <si>
    <t xml:space="preserve">Unrealized loss, fixed-rate loans, gross</t>
  </si>
  <si>
    <t xml:space="preserve">14</t>
  </si>
  <si>
    <t xml:space="preserve">The deposit franchise, net of tax</t>
  </si>
  <si>
    <t xml:space="preserve">24</t>
  </si>
  <si>
    <t xml:space="preserve">Reading 1 on tangible assets</t>
  </si>
  <si>
    <t xml:space="preserve">Reading 2 on tangible assets</t>
  </si>
  <si>
    <t xml:space="preserve">Reading 4 on tangible assets</t>
  </si>
  <si>
    <t xml:space="preserve">The bridge from reading 1 to reading 4, summed step by step</t>
  </si>
  <si>
    <t xml:space="preserve">The bridge, less reading 4 computed directly (must be nought)</t>
  </si>
  <si>
    <t xml:space="preserve">Available-for-sale mark, net of tax</t>
  </si>
  <si>
    <t xml:space="preserve">Held-to-maturity mark, net of tax</t>
  </si>
  <si>
    <t xml:space="preserve">Fixed-rate loan mark, net of tax</t>
  </si>
  <si>
    <t xml:space="preserve">Time deposits, net of tax: a liability losing value is a gain</t>
  </si>
  <si>
    <t xml:space="preserve">The balance sheet balances: total assets less liabilities and equity</t>
  </si>
  <si>
    <t xml:space="preserve">Checks that pass</t>
  </si>
  <si>
    <t xml:space="preserve">Checks that fail</t>
  </si>
</sst>
</file>

<file path=xl/styles.xml><?xml version="1.0" encoding="utf-8"?>
<styleSheet xmlns="http://schemas.openxmlformats.org/spreadsheetml/2006/main">
  <numFmts count="9">
    <numFmt numFmtId="164" formatCode="General"/>
    <numFmt numFmtId="165" formatCode="#,##0;\-#,##0"/>
    <numFmt numFmtId="166" formatCode="0.00%;\-0.00%"/>
    <numFmt numFmtId="167" formatCode="0.00"/>
    <numFmt numFmtId="168" formatCode="#,##0.00;\-#,##0.00"/>
    <numFmt numFmtId="169" formatCode="0.0000%;\-0.0000%"/>
    <numFmt numFmtId="170" formatCode="0.00000000"/>
    <numFmt numFmtId="171" formatCode="@"/>
    <numFmt numFmtId="172" formatCode="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i val="true"/>
      <sz val="9"/>
      <color rgb="FF5A6A70"/>
      <name val="Calibri"/>
      <family val="0"/>
      <charset val="1"/>
    </font>
    <font>
      <b val="true"/>
      <sz val="11"/>
      <color rgb="FF0B4FA0"/>
      <name val="Calibri"/>
      <family val="0"/>
      <charset val="1"/>
    </font>
    <font>
      <sz val="9"/>
      <color rgb="FF9AA6AC"/>
      <name val="Consolas"/>
      <family val="0"/>
      <charset val="1"/>
    </font>
    <font>
      <b val="true"/>
      <sz val="11"/>
      <color rgb="FF1A1A1A"/>
      <name val="Calibri"/>
      <family val="0"/>
      <charset val="1"/>
    </font>
    <font>
      <b val="true"/>
      <sz val="10"/>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2" borderId="3" xfId="0" applyFont="true" applyBorder="true" applyAlignment="false" applyProtection="false">
      <alignment horizontal="general" vertical="bottom" textRotation="0" wrapText="false" indent="0" shrinkToFit="false"/>
      <protection locked="true" hidden="false"/>
    </xf>
    <xf numFmtId="167" fontId="9" fillId="2" borderId="3"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4" fontId="12" fillId="3" borderId="3" xfId="0" applyFont="true" applyBorder="true" applyAlignment="true" applyProtection="false">
      <alignment horizontal="left" vertical="center" textRotation="0" wrapText="true" indent="0" shrinkToFit="false"/>
      <protection locked="true" hidden="false"/>
    </xf>
    <xf numFmtId="164" fontId="12" fillId="3" borderId="3" xfId="0" applyFont="true" applyBorder="true" applyAlignment="true" applyProtection="false">
      <alignment horizontal="right" vertical="center" textRotation="0" wrapText="tru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11"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6AC"/>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45" hidden="false" customHeight="true" outlineLevel="0" collapsed="false">
      <c r="A9" s="5" t="s">
        <v>4</v>
      </c>
    </row>
    <row r="11" customFormat="false" ht="15" hidden="false" customHeight="false" outlineLevel="0" collapsed="false">
      <c r="A11" s="4" t="s">
        <v>5</v>
      </c>
    </row>
    <row r="13" customFormat="false" ht="15" hidden="false" customHeight="true" outlineLevel="0" collapsed="false">
      <c r="A13" s="5" t="s">
        <v>6</v>
      </c>
    </row>
    <row r="14" customFormat="false" ht="15" hidden="false" customHeight="true" outlineLevel="0" collapsed="false">
      <c r="A14" s="5" t="s">
        <v>7</v>
      </c>
    </row>
    <row r="15" customFormat="false" ht="15" hidden="false" customHeight="true" outlineLevel="0" collapsed="false">
      <c r="A15" s="5" t="s">
        <v>8</v>
      </c>
    </row>
    <row r="16" customFormat="false" ht="15" hidden="false" customHeight="true" outlineLevel="0" collapsed="false">
      <c r="A16" s="5" t="s">
        <v>9</v>
      </c>
    </row>
    <row r="17" customFormat="false" ht="15" hidden="false" customHeight="true" outlineLevel="0" collapsed="false">
      <c r="A17" s="5" t="s">
        <v>10</v>
      </c>
    </row>
    <row r="19" customFormat="false" ht="15" hidden="false" customHeight="false" outlineLevel="0" collapsed="false">
      <c r="A19" s="4" t="s">
        <v>11</v>
      </c>
    </row>
    <row r="21" customFormat="false" ht="60" hidden="false" customHeight="true" outlineLevel="0" collapsed="false">
      <c r="A21" s="5" t="s">
        <v>12</v>
      </c>
    </row>
    <row r="23" customFormat="false" ht="45" hidden="false" customHeight="true" outlineLevel="0" collapsed="false">
      <c r="A23" s="5" t="s">
        <v>13</v>
      </c>
    </row>
    <row r="25" customFormat="false" ht="15" hidden="false" customHeight="false" outlineLevel="0" collapsed="false">
      <c r="A25" s="4" t="s">
        <v>14</v>
      </c>
    </row>
    <row r="27" customFormat="false" ht="45" hidden="false" customHeight="true" outlineLevel="0" collapsed="false">
      <c r="A27" s="5" t="s">
        <v>15</v>
      </c>
    </row>
    <row r="29" customFormat="false" ht="15" hidden="false" customHeight="false" outlineLevel="0" collapsed="false">
      <c r="A29" s="4" t="s">
        <v>16</v>
      </c>
    </row>
    <row r="31" customFormat="false" ht="75" hidden="false" customHeight="true" outlineLevel="0" collapsed="false">
      <c r="A31" s="5" t="s">
        <v>17</v>
      </c>
    </row>
    <row r="33" customFormat="false" ht="45" hidden="false" customHeight="true" outlineLevel="0" collapsed="false">
      <c r="A33" s="5" t="s">
        <v>18</v>
      </c>
    </row>
    <row r="35" customFormat="false" ht="30" hidden="false" customHeight="true" outlineLevel="0" collapsed="false">
      <c r="A35" s="5" t="s">
        <v>19</v>
      </c>
    </row>
    <row r="37" customFormat="false" ht="15" hidden="false" customHeight="true" outlineLevel="0" collapsed="false">
      <c r="A37" s="6"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s>
  <sheetData>
    <row r="1" customFormat="false" ht="24" hidden="false" customHeight="true" outlineLevel="0" collapsed="false">
      <c r="A1" s="1" t="s">
        <v>21</v>
      </c>
    </row>
    <row r="2" customFormat="false" ht="15" hidden="false" customHeight="false" outlineLevel="0" collapsed="false">
      <c r="A2" s="2" t="s">
        <v>22</v>
      </c>
    </row>
    <row r="3" customFormat="false" ht="15" hidden="false" customHeight="false" outlineLevel="0" collapsed="false">
      <c r="A3" s="3"/>
      <c r="B3" s="3"/>
      <c r="C3" s="3"/>
    </row>
    <row r="5" customFormat="false" ht="15" hidden="false" customHeight="false" outlineLevel="0" collapsed="false">
      <c r="A5" s="7" t="s">
        <v>23</v>
      </c>
    </row>
    <row r="7" customFormat="false" ht="15" hidden="false" customHeight="false" outlineLevel="0" collapsed="false">
      <c r="A7" s="4" t="s">
        <v>24</v>
      </c>
      <c r="B7" s="8"/>
      <c r="C7" s="8"/>
    </row>
    <row r="9" customFormat="false" ht="15" hidden="false" customHeight="false" outlineLevel="0" collapsed="false">
      <c r="A9" s="9" t="s">
        <v>25</v>
      </c>
      <c r="B9" s="10" t="n">
        <v>420000</v>
      </c>
      <c r="C9" s="11" t="s">
        <v>26</v>
      </c>
    </row>
    <row r="10" customFormat="false" ht="15" hidden="false" customHeight="false" outlineLevel="0" collapsed="false">
      <c r="A10" s="9" t="s">
        <v>27</v>
      </c>
      <c r="B10" s="10" t="n">
        <v>1180000</v>
      </c>
      <c r="C10" s="11" t="s">
        <v>28</v>
      </c>
    </row>
    <row r="11" customFormat="false" ht="15" hidden="false" customHeight="false" outlineLevel="0" collapsed="false">
      <c r="A11" s="9" t="s">
        <v>29</v>
      </c>
      <c r="B11" s="10" t="n">
        <v>1640000</v>
      </c>
      <c r="C11" s="11" t="s">
        <v>30</v>
      </c>
    </row>
    <row r="12" customFormat="false" ht="15" hidden="false" customHeight="false" outlineLevel="0" collapsed="false">
      <c r="A12" s="9" t="s">
        <v>31</v>
      </c>
      <c r="B12" s="10" t="n">
        <v>2850000</v>
      </c>
      <c r="C12" s="11" t="s">
        <v>32</v>
      </c>
    </row>
    <row r="13" customFormat="false" ht="15" hidden="false" customHeight="false" outlineLevel="0" collapsed="false">
      <c r="A13" s="9" t="s">
        <v>33</v>
      </c>
      <c r="B13" s="10" t="n">
        <v>1610000</v>
      </c>
      <c r="C13" s="11" t="s">
        <v>34</v>
      </c>
    </row>
    <row r="14" customFormat="false" ht="15" hidden="false" customHeight="false" outlineLevel="0" collapsed="false">
      <c r="A14" s="9" t="s">
        <v>35</v>
      </c>
      <c r="B14" s="10" t="n">
        <v>300000</v>
      </c>
      <c r="C14" s="11" t="s">
        <v>36</v>
      </c>
    </row>
    <row r="15" customFormat="false" ht="15" hidden="false" customHeight="false" outlineLevel="0" collapsed="false">
      <c r="A15" s="9" t="s">
        <v>37</v>
      </c>
      <c r="B15" s="10" t="n">
        <v>48000</v>
      </c>
      <c r="C15" s="11" t="s">
        <v>38</v>
      </c>
    </row>
    <row r="16" customFormat="false" ht="15" hidden="false" customHeight="false" outlineLevel="0" collapsed="false">
      <c r="A16" s="9" t="s">
        <v>39</v>
      </c>
      <c r="B16" s="10" t="n">
        <v>1760000</v>
      </c>
      <c r="C16" s="11" t="s">
        <v>40</v>
      </c>
    </row>
    <row r="17" customFormat="false" ht="15" hidden="false" customHeight="false" outlineLevel="0" collapsed="false">
      <c r="A17" s="9" t="s">
        <v>41</v>
      </c>
      <c r="B17" s="10" t="n">
        <v>3240000</v>
      </c>
      <c r="C17" s="11" t="s">
        <v>42</v>
      </c>
    </row>
    <row r="18" customFormat="false" ht="15" hidden="false" customHeight="false" outlineLevel="0" collapsed="false">
      <c r="A18" s="9" t="s">
        <v>43</v>
      </c>
      <c r="B18" s="10" t="n">
        <v>1480000</v>
      </c>
      <c r="C18" s="11" t="s">
        <v>44</v>
      </c>
    </row>
    <row r="19" customFormat="false" ht="15" hidden="false" customHeight="false" outlineLevel="0" collapsed="false">
      <c r="A19" s="9" t="s">
        <v>45</v>
      </c>
      <c r="B19" s="10" t="n">
        <v>620000</v>
      </c>
      <c r="C19" s="11" t="s">
        <v>46</v>
      </c>
    </row>
    <row r="20" customFormat="false" ht="15" hidden="false" customHeight="false" outlineLevel="0" collapsed="false">
      <c r="A20" s="9" t="s">
        <v>47</v>
      </c>
      <c r="B20" s="10" t="n">
        <v>150000</v>
      </c>
      <c r="C20" s="11" t="s">
        <v>48</v>
      </c>
    </row>
    <row r="21" customFormat="false" ht="15" hidden="false" customHeight="false" outlineLevel="0" collapsed="false">
      <c r="A21" s="9" t="s">
        <v>49</v>
      </c>
      <c r="B21" s="10" t="n">
        <v>90000</v>
      </c>
      <c r="C21" s="11" t="s">
        <v>50</v>
      </c>
    </row>
    <row r="22" customFormat="false" ht="15" hidden="false" customHeight="false" outlineLevel="0" collapsed="false">
      <c r="A22" s="9" t="s">
        <v>51</v>
      </c>
      <c r="B22" s="10" t="n">
        <v>660000</v>
      </c>
      <c r="C22" s="11" t="s">
        <v>52</v>
      </c>
    </row>
    <row r="23" customFormat="false" ht="15" hidden="false" customHeight="false" outlineLevel="0" collapsed="false">
      <c r="A23" s="4" t="s">
        <v>53</v>
      </c>
      <c r="B23" s="8"/>
      <c r="C23" s="8"/>
    </row>
    <row r="25" customFormat="false" ht="15" hidden="false" customHeight="false" outlineLevel="0" collapsed="false">
      <c r="A25" s="9" t="s">
        <v>54</v>
      </c>
      <c r="B25" s="12" t="n">
        <v>0.0155</v>
      </c>
      <c r="C25" s="11" t="s">
        <v>55</v>
      </c>
    </row>
    <row r="26" customFormat="false" ht="15" hidden="false" customHeight="false" outlineLevel="0" collapsed="false">
      <c r="A26" s="9" t="s">
        <v>56</v>
      </c>
      <c r="B26" s="12" t="n">
        <v>0.0425</v>
      </c>
      <c r="C26" s="11" t="s">
        <v>57</v>
      </c>
    </row>
    <row r="27" customFormat="false" ht="15" hidden="false" customHeight="false" outlineLevel="0" collapsed="false">
      <c r="A27" s="9" t="s">
        <v>58</v>
      </c>
      <c r="B27" s="12" t="n">
        <v>0.0155</v>
      </c>
      <c r="C27" s="11" t="s">
        <v>59</v>
      </c>
    </row>
    <row r="28" customFormat="false" ht="15" hidden="false" customHeight="false" outlineLevel="0" collapsed="false">
      <c r="A28" s="9" t="s">
        <v>60</v>
      </c>
      <c r="B28" s="12" t="n">
        <v>0.0172</v>
      </c>
      <c r="C28" s="11" t="s">
        <v>61</v>
      </c>
    </row>
    <row r="29" customFormat="false" ht="15" hidden="false" customHeight="false" outlineLevel="0" collapsed="false">
      <c r="A29" s="9" t="s">
        <v>62</v>
      </c>
      <c r="B29" s="12" t="n">
        <v>0.0194</v>
      </c>
      <c r="C29" s="11" t="s">
        <v>63</v>
      </c>
    </row>
    <row r="30" customFormat="false" ht="15" hidden="false" customHeight="false" outlineLevel="0" collapsed="false">
      <c r="A30" s="9" t="s">
        <v>64</v>
      </c>
      <c r="B30" s="12" t="n">
        <v>0.0435</v>
      </c>
      <c r="C30" s="11" t="s">
        <v>65</v>
      </c>
    </row>
    <row r="31" customFormat="false" ht="15" hidden="false" customHeight="false" outlineLevel="0" collapsed="false">
      <c r="A31" s="9" t="s">
        <v>66</v>
      </c>
      <c r="B31" s="12" t="n">
        <v>0.024</v>
      </c>
      <c r="C31" s="11" t="s">
        <v>67</v>
      </c>
    </row>
    <row r="32" customFormat="false" ht="15" hidden="false" customHeight="false" outlineLevel="0" collapsed="false">
      <c r="A32" s="9" t="s">
        <v>68</v>
      </c>
      <c r="B32" s="12" t="n">
        <v>0.0018</v>
      </c>
      <c r="C32" s="11" t="s">
        <v>69</v>
      </c>
    </row>
    <row r="33" customFormat="false" ht="15" hidden="false" customHeight="false" outlineLevel="0" collapsed="false">
      <c r="A33" s="9" t="s">
        <v>70</v>
      </c>
      <c r="B33" s="12" t="n">
        <v>0.0085</v>
      </c>
      <c r="C33" s="11" t="s">
        <v>71</v>
      </c>
    </row>
    <row r="34" customFormat="false" ht="15" hidden="false" customHeight="false" outlineLevel="0" collapsed="false">
      <c r="A34" s="9" t="s">
        <v>72</v>
      </c>
      <c r="B34" s="12" t="n">
        <v>0.0135</v>
      </c>
      <c r="C34" s="11" t="s">
        <v>73</v>
      </c>
    </row>
    <row r="35" customFormat="false" ht="15" hidden="false" customHeight="false" outlineLevel="0" collapsed="false">
      <c r="A35" s="9" t="s">
        <v>74</v>
      </c>
      <c r="B35" s="12" t="n">
        <v>0.0525</v>
      </c>
      <c r="C35" s="11" t="s">
        <v>75</v>
      </c>
    </row>
    <row r="36" customFormat="false" ht="15" hidden="false" customHeight="false" outlineLevel="0" collapsed="false">
      <c r="A36" s="4" t="s">
        <v>76</v>
      </c>
      <c r="B36" s="8"/>
      <c r="C36" s="8"/>
    </row>
    <row r="38" customFormat="false" ht="15" hidden="false" customHeight="false" outlineLevel="0" collapsed="false">
      <c r="A38" s="9" t="s">
        <v>77</v>
      </c>
      <c r="B38" s="13" t="n">
        <v>4.6</v>
      </c>
      <c r="C38" s="11" t="s">
        <v>78</v>
      </c>
    </row>
    <row r="39" customFormat="false" ht="15" hidden="false" customHeight="false" outlineLevel="0" collapsed="false">
      <c r="A39" s="9" t="s">
        <v>79</v>
      </c>
      <c r="B39" s="13" t="n">
        <v>7.8</v>
      </c>
      <c r="C39" s="11" t="s">
        <v>80</v>
      </c>
    </row>
    <row r="40" customFormat="false" ht="15" hidden="false" customHeight="false" outlineLevel="0" collapsed="false">
      <c r="A40" s="9" t="s">
        <v>81</v>
      </c>
      <c r="B40" s="13" t="n">
        <v>3.9</v>
      </c>
      <c r="C40" s="11" t="s">
        <v>82</v>
      </c>
    </row>
    <row r="41" customFormat="false" ht="15" hidden="false" customHeight="false" outlineLevel="0" collapsed="false">
      <c r="A41" s="9" t="s">
        <v>83</v>
      </c>
      <c r="B41" s="13" t="n">
        <v>24</v>
      </c>
      <c r="C41" s="11" t="s">
        <v>84</v>
      </c>
    </row>
    <row r="42" customFormat="false" ht="15" hidden="false" customHeight="false" outlineLevel="0" collapsed="false">
      <c r="A42" s="9" t="s">
        <v>85</v>
      </c>
      <c r="B42" s="13" t="n">
        <v>71</v>
      </c>
      <c r="C42" s="11" t="s">
        <v>86</v>
      </c>
    </row>
    <row r="43" customFormat="false" ht="15" hidden="false" customHeight="false" outlineLevel="0" collapsed="false">
      <c r="A43" s="9" t="s">
        <v>87</v>
      </c>
      <c r="B43" s="13" t="n">
        <v>18</v>
      </c>
      <c r="C43" s="11" t="s">
        <v>88</v>
      </c>
    </row>
    <row r="44" customFormat="false" ht="15" hidden="false" customHeight="false" outlineLevel="0" collapsed="false">
      <c r="A44" s="9" t="s">
        <v>89</v>
      </c>
      <c r="B44" s="13" t="n">
        <v>0.9</v>
      </c>
      <c r="C44" s="11" t="s">
        <v>90</v>
      </c>
    </row>
    <row r="45" customFormat="false" ht="15" hidden="false" customHeight="false" outlineLevel="0" collapsed="false">
      <c r="A45" s="9" t="s">
        <v>91</v>
      </c>
      <c r="B45" s="13" t="n">
        <v>4.2</v>
      </c>
      <c r="C45" s="11" t="s">
        <v>92</v>
      </c>
    </row>
    <row r="46" customFormat="false" ht="15" hidden="false" customHeight="false" outlineLevel="0" collapsed="false">
      <c r="A46" s="9" t="s">
        <v>93</v>
      </c>
      <c r="B46" s="12" t="n">
        <v>0.35</v>
      </c>
      <c r="C46" s="11" t="s">
        <v>94</v>
      </c>
    </row>
    <row r="47" customFormat="false" ht="15" hidden="false" customHeight="false" outlineLevel="0" collapsed="false">
      <c r="A47" s="9" t="s">
        <v>95</v>
      </c>
      <c r="B47" s="12" t="n">
        <v>0.85</v>
      </c>
      <c r="C47" s="11" t="s">
        <v>96</v>
      </c>
    </row>
    <row r="48" customFormat="false" ht="15" hidden="false" customHeight="false" outlineLevel="0" collapsed="false">
      <c r="A48" s="9" t="s">
        <v>97</v>
      </c>
      <c r="B48" s="12" t="n">
        <v>0.25</v>
      </c>
      <c r="C48" s="11" t="s">
        <v>98</v>
      </c>
    </row>
    <row r="49" customFormat="false" ht="15" hidden="false" customHeight="false" outlineLevel="0" collapsed="false">
      <c r="A49" s="4" t="s">
        <v>99</v>
      </c>
      <c r="B49" s="8"/>
      <c r="C49" s="8"/>
    </row>
    <row r="51" customFormat="false" ht="15" hidden="false" customHeight="false" outlineLevel="0" collapsed="false">
      <c r="A51" s="9" t="s">
        <v>100</v>
      </c>
      <c r="B51" s="10" t="n">
        <v>148000</v>
      </c>
      <c r="C51" s="11" t="s">
        <v>101</v>
      </c>
    </row>
    <row r="52" customFormat="false" ht="15" hidden="false" customHeight="false" outlineLevel="0" collapsed="false">
      <c r="A52" s="9" t="s">
        <v>102</v>
      </c>
      <c r="B52" s="10" t="n">
        <v>41000</v>
      </c>
      <c r="C52" s="11" t="s">
        <v>103</v>
      </c>
    </row>
    <row r="53" customFormat="false" ht="15" hidden="false" customHeight="false" outlineLevel="0" collapsed="false">
      <c r="A53" s="9" t="s">
        <v>104</v>
      </c>
      <c r="B53" s="10" t="n">
        <v>26000</v>
      </c>
      <c r="C53" s="11" t="s">
        <v>105</v>
      </c>
    </row>
    <row r="54" customFormat="false" ht="15" hidden="false" customHeight="false" outlineLevel="0" collapsed="false">
      <c r="A54" s="9" t="s">
        <v>106</v>
      </c>
      <c r="B54" s="10" t="n">
        <v>18000</v>
      </c>
      <c r="C54" s="11" t="s">
        <v>107</v>
      </c>
    </row>
    <row r="55" customFormat="false" ht="15" hidden="false" customHeight="false" outlineLevel="0" collapsed="false">
      <c r="A55" s="9" t="s">
        <v>108</v>
      </c>
      <c r="B55" s="10" t="n">
        <v>5530000</v>
      </c>
      <c r="C55" s="11" t="s">
        <v>109</v>
      </c>
    </row>
    <row r="56" customFormat="false" ht="15" hidden="false" customHeight="false" outlineLevel="0" collapsed="false">
      <c r="A56" s="9" t="s">
        <v>110</v>
      </c>
      <c r="B56" s="10" t="n">
        <v>5610000</v>
      </c>
      <c r="C56" s="11" t="s">
        <v>111</v>
      </c>
    </row>
    <row r="57" customFormat="false" ht="15" hidden="false" customHeight="false" outlineLevel="0" collapsed="false">
      <c r="A57" s="9" t="s">
        <v>112</v>
      </c>
      <c r="B57" s="10" t="n">
        <v>-24000</v>
      </c>
      <c r="C57" s="11" t="s">
        <v>113</v>
      </c>
    </row>
    <row r="58" customFormat="false" ht="15" hidden="false" customHeight="false" outlineLevel="0" collapsed="false">
      <c r="A58" s="4" t="s">
        <v>114</v>
      </c>
      <c r="B58" s="8"/>
      <c r="C58" s="8"/>
    </row>
    <row r="60" customFormat="false" ht="15" hidden="false" customHeight="false" outlineLevel="0" collapsed="false">
      <c r="A60" s="9" t="s">
        <v>115</v>
      </c>
      <c r="B60" s="12" t="n">
        <v>0.46</v>
      </c>
      <c r="C60" s="11" t="s">
        <v>116</v>
      </c>
    </row>
    <row r="61" customFormat="false" ht="15" hidden="false" customHeight="false" outlineLevel="0" collapsed="false">
      <c r="A61" s="9" t="s">
        <v>117</v>
      </c>
      <c r="B61" s="12" t="n">
        <v>0.02</v>
      </c>
      <c r="C61" s="11" t="s">
        <v>118</v>
      </c>
    </row>
    <row r="62" customFormat="false" ht="15" hidden="false" customHeight="false" outlineLevel="0" collapsed="false">
      <c r="A62" s="9" t="s">
        <v>119</v>
      </c>
      <c r="B62" s="12" t="n">
        <v>0.03</v>
      </c>
      <c r="C62" s="11" t="s">
        <v>120</v>
      </c>
    </row>
    <row r="63" customFormat="false" ht="15" hidden="false" customHeight="false" outlineLevel="0" collapsed="false">
      <c r="A63" s="9" t="s">
        <v>121</v>
      </c>
      <c r="B63" s="10" t="n">
        <v>980000</v>
      </c>
      <c r="C63" s="11" t="s">
        <v>122</v>
      </c>
    </row>
    <row r="64" customFormat="false" ht="15" hidden="false" customHeight="false" outlineLevel="0" collapsed="false">
      <c r="A64" s="9" t="s">
        <v>123</v>
      </c>
      <c r="B64" s="12" t="n">
        <v>0.02</v>
      </c>
      <c r="C64" s="11" t="s">
        <v>124</v>
      </c>
    </row>
    <row r="65" customFormat="false" ht="15" hidden="false" customHeight="false" outlineLevel="0" collapsed="false">
      <c r="A65" s="9" t="s">
        <v>125</v>
      </c>
      <c r="B65" s="12" t="n">
        <v>0.25</v>
      </c>
      <c r="C65" s="11" t="s">
        <v>126</v>
      </c>
    </row>
    <row r="66" customFormat="false" ht="15" hidden="false" customHeight="false" outlineLevel="0" collapsed="false">
      <c r="A66" s="9" t="s">
        <v>127</v>
      </c>
      <c r="B66" s="12" t="n">
        <v>0.065</v>
      </c>
      <c r="C66" s="11" t="s">
        <v>128</v>
      </c>
    </row>
    <row r="67" customFormat="false" ht="15" hidden="false" customHeight="false" outlineLevel="0" collapsed="false">
      <c r="A67" s="4" t="s">
        <v>129</v>
      </c>
      <c r="B67" s="8"/>
      <c r="C67" s="8"/>
    </row>
    <row r="69" customFormat="false" ht="15" hidden="false" customHeight="false" outlineLevel="0" collapsed="false">
      <c r="A69" s="9" t="s">
        <v>130</v>
      </c>
      <c r="B69" s="12" t="n">
        <v>0.0025</v>
      </c>
      <c r="C69" s="11" t="s">
        <v>131</v>
      </c>
    </row>
    <row r="70" customFormat="false" ht="15" hidden="false" customHeight="false" outlineLevel="0" collapsed="false">
      <c r="A70" s="9" t="s">
        <v>132</v>
      </c>
      <c r="B70" s="13" t="n">
        <v>5</v>
      </c>
      <c r="C70" s="11" t="s">
        <v>133</v>
      </c>
    </row>
    <row r="71" customFormat="false" ht="15" hidden="false" customHeight="false" outlineLevel="0" collapsed="false">
      <c r="A71" s="9" t="s">
        <v>134</v>
      </c>
      <c r="B71" s="13" t="n">
        <v>0.25</v>
      </c>
      <c r="C71" s="11" t="s">
        <v>135</v>
      </c>
    </row>
    <row r="72" customFormat="false" ht="15" hidden="false" customHeight="false" outlineLevel="0" collapsed="false">
      <c r="A72" s="9" t="s">
        <v>136</v>
      </c>
      <c r="B72" s="13" t="n">
        <v>5</v>
      </c>
      <c r="C72" s="11" t="s">
        <v>137</v>
      </c>
    </row>
    <row r="73" customFormat="false" ht="15" hidden="false" customHeight="false" outlineLevel="0" collapsed="false">
      <c r="A73" s="9" t="s">
        <v>138</v>
      </c>
      <c r="B73" s="12" t="n">
        <v>0.8</v>
      </c>
      <c r="C73" s="11" t="s">
        <v>139</v>
      </c>
    </row>
    <row r="74" customFormat="false" ht="15" hidden="false" customHeight="false" outlineLevel="0" collapsed="false">
      <c r="A74" s="4" t="s">
        <v>140</v>
      </c>
      <c r="B74" s="8"/>
      <c r="C74" s="8"/>
    </row>
    <row r="76" customFormat="false" ht="15" hidden="false" customHeight="false" outlineLevel="0" collapsed="false">
      <c r="A76" s="9" t="s">
        <v>141</v>
      </c>
      <c r="B76" s="12" t="n">
        <v>0.42</v>
      </c>
      <c r="C76" s="11" t="s">
        <v>142</v>
      </c>
    </row>
    <row r="77" customFormat="false" ht="15" hidden="false" customHeight="false" outlineLevel="0" collapsed="false">
      <c r="A77" s="9" t="s">
        <v>143</v>
      </c>
      <c r="B77" s="12" t="n">
        <v>0.045</v>
      </c>
      <c r="C77" s="11" t="s">
        <v>144</v>
      </c>
    </row>
    <row r="78" customFormat="false" ht="15" hidden="false" customHeight="false" outlineLevel="0" collapsed="false">
      <c r="A78" s="9" t="s">
        <v>145</v>
      </c>
      <c r="B78" s="12" t="n">
        <v>0.35</v>
      </c>
      <c r="C78" s="11" t="s">
        <v>146</v>
      </c>
    </row>
    <row r="79" customFormat="false" ht="15" hidden="false" customHeight="false" outlineLevel="0" collapsed="false">
      <c r="A79" s="9" t="s">
        <v>147</v>
      </c>
      <c r="B79" s="13" t="n">
        <v>0.5</v>
      </c>
      <c r="C79" s="11" t="s">
        <v>148</v>
      </c>
    </row>
    <row r="80" customFormat="false" ht="15" hidden="false" customHeight="false" outlineLevel="0" collapsed="false">
      <c r="A80" s="9" t="s">
        <v>149</v>
      </c>
      <c r="B80" s="12" t="n">
        <v>0.62</v>
      </c>
      <c r="C80" s="11" t="s">
        <v>150</v>
      </c>
    </row>
    <row r="81" customFormat="false" ht="15" hidden="false" customHeight="false" outlineLevel="0" collapsed="false">
      <c r="A81" s="4" t="s">
        <v>151</v>
      </c>
      <c r="B81" s="8"/>
      <c r="C81" s="8"/>
    </row>
    <row r="83" customFormat="false" ht="15" hidden="false" customHeight="false" outlineLevel="0" collapsed="false">
      <c r="A83" s="9" t="s">
        <v>152</v>
      </c>
      <c r="B83" s="13" t="n">
        <v>10</v>
      </c>
      <c r="C83" s="11" t="s">
        <v>153</v>
      </c>
    </row>
    <row r="85" customFormat="false" ht="15" hidden="false" customHeight="false" outlineLevel="0" collapsed="false">
      <c r="A85" s="4" t="s">
        <v>154</v>
      </c>
      <c r="B85" s="8"/>
      <c r="C85" s="8"/>
    </row>
    <row r="87" customFormat="false" ht="15" hidden="false" customHeight="false" outlineLevel="0" collapsed="false">
      <c r="A87" s="14" t="s">
        <v>155</v>
      </c>
      <c r="B87" s="15" t="n">
        <f aca="false">CASH+AFS+HTM+LOANS_FIX+LOANS_FLT+OTHER_ASSETS</f>
        <v>8000000</v>
      </c>
    </row>
    <row r="88" customFormat="false" ht="15" hidden="false" customHeight="false" outlineLevel="0" collapsed="false">
      <c r="A88" s="14" t="s">
        <v>156</v>
      </c>
      <c r="B88" s="15" t="n">
        <f aca="false">DEP_NIB+DEP_SAV+DEP_TIME+FHLB+SUBDEBT+OTHER_LIAB+EQUITY</f>
        <v>8000000</v>
      </c>
    </row>
    <row r="89" customFormat="false" ht="15" hidden="false" customHeight="false" outlineLevel="0" collapsed="false">
      <c r="A89" s="14" t="s">
        <v>157</v>
      </c>
      <c r="B89" s="15" t="n">
        <f aca="false">TOT_ASSETS-TOT_LIAB</f>
        <v>0</v>
      </c>
    </row>
    <row r="90" customFormat="false" ht="15" hidden="false" customHeight="false" outlineLevel="0" collapsed="false">
      <c r="A90" s="7" t="s">
        <v>158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159</v>
      </c>
    </row>
    <row r="2" customFormat="false" ht="15" hidden="false" customHeight="false" outlineLevel="0" collapsed="false">
      <c r="A2" s="2" t="s">
        <v>160</v>
      </c>
    </row>
    <row r="3" customFormat="false" ht="15" hidden="false" customHeight="false" outlineLevel="0" collapsed="false">
      <c r="A3" s="3"/>
      <c r="B3" s="3"/>
    </row>
    <row r="6" customFormat="false" ht="15" hidden="false" customHeight="false" outlineLevel="0" collapsed="false">
      <c r="A6" s="4" t="s">
        <v>161</v>
      </c>
      <c r="B6" s="8"/>
      <c r="C6" s="8"/>
    </row>
    <row r="8" customFormat="false" ht="15" hidden="false" customHeight="false" outlineLevel="0" collapsed="false">
      <c r="A8" s="9" t="s">
        <v>162</v>
      </c>
      <c r="B8" s="16" t="n">
        <f aca="false">-DUR_AFS*SHOCK+0.5*CVX_AFS*SHOCK^2</f>
        <v>-0.173825</v>
      </c>
    </row>
    <row r="9" customFormat="false" ht="15" hidden="false" customHeight="false" outlineLevel="0" collapsed="false">
      <c r="A9" s="9" t="s">
        <v>163</v>
      </c>
      <c r="B9" s="16" t="n">
        <f aca="false">-DUR_HTM*SHOCK+0.5*CVX_HTM*SHOCK^2</f>
        <v>-0.267378125</v>
      </c>
    </row>
    <row r="10" customFormat="false" ht="15" hidden="false" customHeight="false" outlineLevel="0" collapsed="false">
      <c r="A10" s="9" t="s">
        <v>164</v>
      </c>
      <c r="B10" s="16" t="n">
        <f aca="false">-DUR_FIX*SHOCK+0.5*CVX_FIX*SHOCK^2</f>
        <v>-0.14949375</v>
      </c>
    </row>
    <row r="11" customFormat="false" ht="15" hidden="false" customHeight="false" outlineLevel="0" collapsed="false">
      <c r="A11" s="4" t="s">
        <v>165</v>
      </c>
      <c r="B11" s="8"/>
      <c r="C11" s="8"/>
    </row>
    <row r="13" customFormat="false" ht="15" hidden="false" customHeight="false" outlineLevel="0" collapsed="false">
      <c r="A13" s="9" t="s">
        <v>166</v>
      </c>
      <c r="B13" s="17" t="n">
        <f aca="false">AFS*PX_AFS</f>
        <v>-205113.5</v>
      </c>
    </row>
    <row r="14" customFormat="false" ht="15" hidden="false" customHeight="false" outlineLevel="0" collapsed="false">
      <c r="A14" s="9" t="s">
        <v>167</v>
      </c>
      <c r="B14" s="17" t="n">
        <f aca="false">HTM*PX_HTM</f>
        <v>-438500.125</v>
      </c>
    </row>
    <row r="15" customFormat="false" ht="15" hidden="false" customHeight="false" outlineLevel="0" collapsed="false">
      <c r="A15" s="9" t="s">
        <v>168</v>
      </c>
      <c r="B15" s="17" t="n">
        <f aca="false">LOANS_FIX*PX_FIX</f>
        <v>-426057.1875</v>
      </c>
    </row>
    <row r="16" customFormat="false" ht="15" hidden="false" customHeight="false" outlineLevel="0" collapsed="false">
      <c r="A16" s="9" t="s">
        <v>169</v>
      </c>
      <c r="B16" s="17" t="n">
        <f aca="false">MV_AFS*(1-TAX)</f>
        <v>-153835.125</v>
      </c>
    </row>
    <row r="17" customFormat="false" ht="15" hidden="false" customHeight="false" outlineLevel="0" collapsed="false">
      <c r="A17" s="9" t="s">
        <v>170</v>
      </c>
      <c r="B17" s="17" t="n">
        <f aca="false">MV_HTM*(1-TAX)</f>
        <v>-328875.09375</v>
      </c>
    </row>
    <row r="18" customFormat="false" ht="15" hidden="false" customHeight="false" outlineLevel="0" collapsed="false">
      <c r="A18" s="9" t="s">
        <v>171</v>
      </c>
      <c r="B18" s="17" t="n">
        <f aca="false">MV_FIX*(1-TAX)</f>
        <v>-319542.890625</v>
      </c>
    </row>
    <row r="19" customFormat="false" ht="15" hidden="false" customHeight="false" outlineLevel="0" collapsed="false">
      <c r="A19" s="9" t="s">
        <v>172</v>
      </c>
      <c r="B19" s="17" t="n">
        <f aca="false">DEP_TIME*(1-BETA_TIME)*DUR_TIME*SHOCK*(1-TAX)</f>
        <v>6368.625</v>
      </c>
    </row>
    <row r="20" customFormat="false" ht="15" hidden="false" customHeight="false" outlineLevel="0" collapsed="false">
      <c r="A20" s="9" t="s">
        <v>173</v>
      </c>
      <c r="B20" s="17" t="n">
        <f aca="false">(DEP_NIB+DEP_SAV)*(1-BETA_SAV)*DEP_LIFE*SHOCK*(1-TAX)</f>
        <v>435093.75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174</v>
      </c>
    </row>
    <row r="2" customFormat="false" ht="15" hidden="false" customHeight="false" outlineLevel="0" collapsed="false">
      <c r="A2" s="2" t="s">
        <v>175</v>
      </c>
    </row>
    <row r="3" customFormat="false" ht="15" hidden="false" customHeight="false" outlineLevel="0" collapsed="false">
      <c r="A3" s="3"/>
      <c r="B3" s="3"/>
    </row>
    <row r="6" customFormat="false" ht="15" hidden="false" customHeight="false" outlineLevel="0" collapsed="false">
      <c r="A6" s="4" t="s">
        <v>176</v>
      </c>
      <c r="B6" s="8"/>
      <c r="C6" s="8"/>
    </row>
    <row r="8" customFormat="false" ht="15" hidden="false" customHeight="false" outlineLevel="0" collapsed="false">
      <c r="A8" s="9" t="s">
        <v>177</v>
      </c>
      <c r="B8" s="16" t="n">
        <f aca="false">MKT0+SPREAD_FLT</f>
        <v>0.0395</v>
      </c>
    </row>
    <row r="9" customFormat="false" ht="15" hidden="false" customHeight="false" outlineLevel="0" collapsed="false">
      <c r="A9" s="9" t="s">
        <v>178</v>
      </c>
      <c r="B9" s="17" t="n">
        <f aca="false">CASH*Y_CASH+AFS*Y_AFS+HTM*Y_HTM+LOANS_FIX*Y_FIX+LOANS_FLT*Y_FLT0</f>
        <v>246192</v>
      </c>
    </row>
    <row r="10" customFormat="false" ht="15" hidden="false" customHeight="false" outlineLevel="0" collapsed="false">
      <c r="A10" s="9" t="s">
        <v>179</v>
      </c>
      <c r="B10" s="17" t="n">
        <f aca="false">DEP_SAV*C_SAV+DEP_TIME*C_TIME+FHLB*C_FHLB+SUBDEBT*C_SUB</f>
        <v>34657</v>
      </c>
    </row>
    <row r="11" customFormat="false" ht="15" hidden="false" customHeight="false" outlineLevel="0" collapsed="false">
      <c r="A11" s="14" t="s">
        <v>180</v>
      </c>
      <c r="B11" s="15" t="n">
        <f aca="false">INC0-EXP0</f>
        <v>211535</v>
      </c>
    </row>
    <row r="12" customFormat="false" ht="15" hidden="false" customHeight="false" outlineLevel="0" collapsed="false">
      <c r="A12" s="9" t="s">
        <v>181</v>
      </c>
      <c r="B12" s="17" t="n">
        <f aca="false">CASH+AFS+HTM+LOANS_FIX+LOANS_FLT</f>
        <v>7700000</v>
      </c>
    </row>
    <row r="13" customFormat="false" ht="15" hidden="false" customHeight="false" outlineLevel="0" collapsed="false">
      <c r="A13" s="9" t="s">
        <v>182</v>
      </c>
      <c r="B13" s="16" t="n">
        <f aca="false">NII0/EARNING</f>
        <v>0.0274720779220779</v>
      </c>
    </row>
    <row r="14" customFormat="false" ht="15" hidden="false" customHeight="false" outlineLevel="0" collapsed="false">
      <c r="A14" s="4" t="s">
        <v>183</v>
      </c>
      <c r="B14" s="8"/>
      <c r="C14" s="8"/>
    </row>
    <row r="16" customFormat="false" ht="15" hidden="false" customHeight="false" outlineLevel="0" collapsed="false">
      <c r="A16" s="9" t="s">
        <v>184</v>
      </c>
      <c r="B16" s="16" t="n">
        <f aca="false">MKT0+SHOCK+SPREAD_FLT</f>
        <v>0.082</v>
      </c>
    </row>
    <row r="17" customFormat="false" ht="15" hidden="false" customHeight="false" outlineLevel="0" collapsed="false">
      <c r="A17" s="9" t="s">
        <v>185</v>
      </c>
      <c r="B17" s="16" t="n">
        <f aca="false">C_SAV+BETA_SAV*SHOCK</f>
        <v>0.016675</v>
      </c>
    </row>
    <row r="18" customFormat="false" ht="15" hidden="false" customHeight="false" outlineLevel="0" collapsed="false">
      <c r="A18" s="9" t="s">
        <v>186</v>
      </c>
      <c r="B18" s="16" t="n">
        <f aca="false">C_TIME+BETA_TIME*SHOCK</f>
        <v>0.044625</v>
      </c>
    </row>
    <row r="19" customFormat="false" ht="15" hidden="false" customHeight="false" outlineLevel="0" collapsed="false">
      <c r="A19" s="9" t="s">
        <v>187</v>
      </c>
      <c r="B19" s="16" t="n">
        <f aca="false">C_FHLB+SHOCK</f>
        <v>0.056</v>
      </c>
    </row>
    <row r="20" customFormat="false" ht="15" hidden="false" customHeight="false" outlineLevel="0" collapsed="false">
      <c r="A20" s="9" t="s">
        <v>188</v>
      </c>
      <c r="B20" s="17" t="n">
        <f aca="false">CASH*(Y_CASH+SHOCK)+AFS*Y_AFS+HTM*Y_HTM+LOANS_FIX*Y_FIX+LOANS_FLT*Y_FLT1</f>
        <v>332467</v>
      </c>
    </row>
    <row r="21" customFormat="false" ht="15" hidden="false" customHeight="false" outlineLevel="0" collapsed="false">
      <c r="A21" s="9" t="s">
        <v>189</v>
      </c>
      <c r="B21" s="17" t="n">
        <f aca="false">DEP_SAV*C_SAV1+DEP_TIME*C_TIME1+FHLB*C_FHLB1+SUBDEBT*C_SUB</f>
        <v>162667</v>
      </c>
    </row>
    <row r="22" customFormat="false" ht="15" hidden="false" customHeight="false" outlineLevel="0" collapsed="false">
      <c r="A22" s="14" t="s">
        <v>190</v>
      </c>
      <c r="B22" s="15" t="n">
        <f aca="false">INC1-EXP1</f>
        <v>169800</v>
      </c>
    </row>
    <row r="23" customFormat="false" ht="15" hidden="false" customHeight="false" outlineLevel="0" collapsed="false">
      <c r="A23" s="9" t="s">
        <v>191</v>
      </c>
      <c r="B23" s="16" t="n">
        <f aca="false">NII1/EARNING</f>
        <v>0.0220519480519481</v>
      </c>
    </row>
    <row r="24" customFormat="false" ht="15" hidden="false" customHeight="false" outlineLevel="0" collapsed="false">
      <c r="A24" s="4" t="s">
        <v>192</v>
      </c>
      <c r="B24" s="8"/>
      <c r="C24" s="8"/>
    </row>
    <row r="26" customFormat="false" ht="15" hidden="false" customHeight="false" outlineLevel="0" collapsed="false">
      <c r="A26" s="9" t="s">
        <v>193</v>
      </c>
      <c r="B26" s="17" t="n">
        <f aca="false">NII1+FEES-OPEX-PROVISION</f>
        <v>36800</v>
      </c>
    </row>
    <row r="27" customFormat="false" ht="15" hidden="false" customHeight="false" outlineLevel="0" collapsed="false">
      <c r="A27" s="14" t="s">
        <v>194</v>
      </c>
      <c r="B27" s="15" t="n">
        <f aca="false">PBT*(1-TAX)</f>
        <v>27600</v>
      </c>
    </row>
    <row r="28" customFormat="false" ht="15" hidden="false" customHeight="false" outlineLevel="0" collapsed="false">
      <c r="A28" s="9" t="s">
        <v>195</v>
      </c>
      <c r="B28" s="17" t="n">
        <f aca="false">NET_INCOME-DIVIDEND</f>
        <v>9600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196</v>
      </c>
    </row>
    <row r="2" customFormat="false" ht="15" hidden="false" customHeight="false" outlineLevel="0" collapsed="false">
      <c r="A2" s="2" t="s">
        <v>197</v>
      </c>
    </row>
    <row r="3" customFormat="false" ht="15" hidden="false" customHeight="false" outlineLevel="0" collapsed="false">
      <c r="A3" s="3"/>
      <c r="B3" s="3"/>
    </row>
    <row r="6" customFormat="false" ht="15" hidden="false" customHeight="false" outlineLevel="0" collapsed="false">
      <c r="A6" s="4" t="s">
        <v>198</v>
      </c>
      <c r="B6" s="8"/>
      <c r="C6" s="8"/>
    </row>
    <row r="8" customFormat="false" ht="15" hidden="false" customHeight="false" outlineLevel="0" collapsed="false">
      <c r="A8" s="9" t="s">
        <v>199</v>
      </c>
      <c r="B8" s="17" t="n">
        <f aca="false">AOCI0*(1-TAX)</f>
        <v>-18000</v>
      </c>
    </row>
    <row r="9" customFormat="false" ht="15" hidden="false" customHeight="false" outlineLevel="0" collapsed="false">
      <c r="A9" s="9" t="s">
        <v>200</v>
      </c>
      <c r="B9" s="17" t="n">
        <f aca="false">EQUITY-GOODWILL-AOCI0_N</f>
        <v>630000</v>
      </c>
    </row>
    <row r="10" customFormat="false" ht="15" hidden="false" customHeight="false" outlineLevel="0" collapsed="false">
      <c r="A10" s="9" t="s">
        <v>201</v>
      </c>
      <c r="B10" s="17" t="n">
        <f aca="false">EQUITY+RETAINED+(MV_AFS_N-AOCI0_N)</f>
        <v>533764.875</v>
      </c>
    </row>
    <row r="11" customFormat="false" ht="15" hidden="false" customHeight="false" outlineLevel="0" collapsed="false">
      <c r="A11" s="14" t="s">
        <v>202</v>
      </c>
      <c r="B11" s="15" t="n">
        <f aca="false">EQUITY1-GOODWILL-MV_AFS_N</f>
        <v>639600</v>
      </c>
    </row>
    <row r="12" customFormat="false" ht="15" hidden="false" customHeight="false" outlineLevel="0" collapsed="false">
      <c r="A12" s="14" t="s">
        <v>203</v>
      </c>
      <c r="B12" s="15" t="n">
        <f aca="false">CET1_1+MV_AFS_N</f>
        <v>485764.875</v>
      </c>
    </row>
    <row r="13" customFormat="false" ht="15" hidden="false" customHeight="false" outlineLevel="0" collapsed="false">
      <c r="A13" s="9" t="s">
        <v>204</v>
      </c>
      <c r="B13" s="17" t="n">
        <f aca="false">TOT_ASSETS+RETAINED+(MV_AFS_N-AOCI0_N)</f>
        <v>7873764.875</v>
      </c>
    </row>
    <row r="14" customFormat="false" ht="15" hidden="false" customHeight="false" outlineLevel="0" collapsed="false">
      <c r="A14" s="14" t="s">
        <v>205</v>
      </c>
      <c r="B14" s="15" t="n">
        <f aca="false">EQUITY1-GOODWILL+MV_HTM_N</f>
        <v>156889.78125</v>
      </c>
    </row>
    <row r="15" customFormat="false" ht="15" hidden="false" customHeight="false" outlineLevel="0" collapsed="false">
      <c r="A15" s="9" t="s">
        <v>206</v>
      </c>
      <c r="B15" s="17" t="n">
        <f aca="false">ASSETS1-GOODWILL+MV_HTM_N</f>
        <v>7496889.78125</v>
      </c>
    </row>
    <row r="16" customFormat="false" ht="15" hidden="false" customHeight="false" outlineLevel="0" collapsed="false">
      <c r="A16" s="14" t="s">
        <v>207</v>
      </c>
      <c r="B16" s="15" t="n">
        <f aca="false">TCE+MV_FIX_N+FRANCHISE_N+MV_TIME_N</f>
        <v>278809.265625</v>
      </c>
    </row>
    <row r="17" customFormat="false" ht="15" hidden="false" customHeight="false" outlineLevel="0" collapsed="false">
      <c r="A17" s="9" t="s">
        <v>208</v>
      </c>
      <c r="B17" s="17" t="n">
        <f aca="false">TANG_ASSETS+MV_FIX_N</f>
        <v>7177346.890625</v>
      </c>
    </row>
    <row r="18" customFormat="false" ht="15" hidden="false" customHeight="false" outlineLevel="0" collapsed="false">
      <c r="A18" s="4" t="s">
        <v>209</v>
      </c>
      <c r="B18" s="8"/>
      <c r="C18" s="8"/>
    </row>
    <row r="20" customFormat="false" ht="15" hidden="false" customHeight="false" outlineLevel="0" collapsed="false">
      <c r="A20" s="9" t="s">
        <v>210</v>
      </c>
      <c r="B20" s="16" t="n">
        <f aca="false">CET1_1/RWA1</f>
        <v>0.114010695187166</v>
      </c>
    </row>
    <row r="21" customFormat="false" ht="15" hidden="false" customHeight="false" outlineLevel="0" collapsed="false">
      <c r="A21" s="9" t="s">
        <v>211</v>
      </c>
      <c r="B21" s="16" t="n">
        <f aca="false">CET1_2/RWA1</f>
        <v>0.0865891042780749</v>
      </c>
    </row>
    <row r="22" customFormat="false" ht="15" hidden="false" customHeight="false" outlineLevel="0" collapsed="false">
      <c r="A22" s="9" t="s">
        <v>212</v>
      </c>
      <c r="B22" s="16" t="n">
        <f aca="false">TCE/TANG_ASSETS</f>
        <v>0.0209273159707359</v>
      </c>
    </row>
    <row r="23" customFormat="false" ht="15" hidden="false" customHeight="false" outlineLevel="0" collapsed="false">
      <c r="A23" s="9" t="s">
        <v>213</v>
      </c>
      <c r="B23" s="16" t="n">
        <f aca="false">EVE/EVE_BASE</f>
        <v>0.0388457280766489</v>
      </c>
    </row>
    <row r="24" customFormat="false" ht="15" hidden="false" customHeight="false" outlineLevel="0" collapsed="false">
      <c r="A24" s="9" t="s">
        <v>214</v>
      </c>
      <c r="B24" s="16" t="n">
        <f aca="false">CET1_0/RWA0</f>
        <v>0.113924050632911</v>
      </c>
    </row>
    <row r="25" customFormat="false" ht="15" hidden="false" customHeight="false" outlineLevel="0" collapsed="false">
      <c r="A25" s="14" t="s">
        <v>215</v>
      </c>
      <c r="B25" s="18" t="n">
        <f aca="false">R1-R3</f>
        <v>0.0930833792164299</v>
      </c>
    </row>
    <row r="27" customFormat="false" ht="15" hidden="false" customHeight="false" outlineLevel="0" collapsed="false">
      <c r="A27" s="4" t="s">
        <v>216</v>
      </c>
      <c r="B27" s="8"/>
      <c r="C27" s="8"/>
    </row>
    <row r="29" customFormat="false" ht="15" hidden="false" customHeight="false" outlineLevel="0" collapsed="false">
      <c r="A29" s="9" t="s">
        <v>217</v>
      </c>
      <c r="B29" s="16" t="n">
        <f aca="false">CET1_1/TANG_ASSETS</f>
        <v>0.0853153799325773</v>
      </c>
    </row>
    <row r="30" customFormat="false" ht="15" hidden="false" customHeight="false" outlineLevel="0" collapsed="false">
      <c r="A30" s="9" t="s">
        <v>218</v>
      </c>
      <c r="B30" s="16" t="n">
        <f aca="false">CET1_2/TANG_ASSETS</f>
        <v>0.064795520432342</v>
      </c>
    </row>
    <row r="31" customFormat="false" ht="15" hidden="false" customHeight="false" outlineLevel="0" collapsed="false">
      <c r="A31" s="9" t="s">
        <v>212</v>
      </c>
      <c r="B31" s="16" t="n">
        <f aca="false">TCE/TANG_ASSETS</f>
        <v>0.0209273159707359</v>
      </c>
    </row>
    <row r="32" customFormat="false" ht="15" hidden="false" customHeight="false" outlineLevel="0" collapsed="false">
      <c r="A32" s="9" t="s">
        <v>219</v>
      </c>
      <c r="B32" s="16" t="n">
        <f aca="false">EVE/TANG_ASSETS</f>
        <v>0.0371899912844274</v>
      </c>
    </row>
    <row r="33" customFormat="false" ht="15" hidden="false" customHeight="false" outlineLevel="0" collapsed="false">
      <c r="A33" s="9" t="s">
        <v>220</v>
      </c>
      <c r="B33" s="16" t="n">
        <f aca="false">RWA1/TANG_ASSETS</f>
        <v>0.74831032117223</v>
      </c>
    </row>
    <row r="35" customFormat="false" ht="15" hidden="false" customHeight="false" outlineLevel="0" collapsed="false">
      <c r="A35" s="4" t="s">
        <v>221</v>
      </c>
    </row>
    <row r="37" customFormat="false" ht="15" hidden="false" customHeight="false" outlineLevel="0" collapsed="false">
      <c r="A37" s="9" t="s">
        <v>222</v>
      </c>
      <c r="B37" s="19" t="n">
        <f aca="false">CET1_1</f>
        <v>639600</v>
      </c>
    </row>
    <row r="38" customFormat="false" ht="15" hidden="false" customHeight="false" outlineLevel="0" collapsed="false">
      <c r="A38" s="9" t="s">
        <v>223</v>
      </c>
      <c r="B38" s="19" t="n">
        <f aca="false">MV_AFS_N</f>
        <v>-153835.125</v>
      </c>
    </row>
    <row r="39" customFormat="false" ht="15" hidden="false" customHeight="false" outlineLevel="0" collapsed="false">
      <c r="A39" s="14" t="s">
        <v>224</v>
      </c>
      <c r="B39" s="20" t="n">
        <f aca="false">B37+B38</f>
        <v>485764.875</v>
      </c>
    </row>
    <row r="40" customFormat="false" ht="15" hidden="false" customHeight="false" outlineLevel="0" collapsed="false">
      <c r="A40" s="9" t="s">
        <v>225</v>
      </c>
      <c r="B40" s="19" t="n">
        <f aca="false">MV_HTM_N</f>
        <v>-328875.09375</v>
      </c>
    </row>
    <row r="41" customFormat="false" ht="15" hidden="false" customHeight="false" outlineLevel="0" collapsed="false">
      <c r="A41" s="14" t="s">
        <v>226</v>
      </c>
      <c r="B41" s="20" t="n">
        <f aca="false">B39+B40</f>
        <v>156889.78125</v>
      </c>
    </row>
    <row r="42" customFormat="false" ht="15" hidden="false" customHeight="false" outlineLevel="0" collapsed="false">
      <c r="A42" s="9" t="s">
        <v>227</v>
      </c>
      <c r="B42" s="19" t="n">
        <f aca="false">MV_FIX_N</f>
        <v>-319542.890625</v>
      </c>
    </row>
    <row r="43" customFormat="false" ht="15" hidden="false" customHeight="false" outlineLevel="0" collapsed="false">
      <c r="A43" s="9" t="s">
        <v>228</v>
      </c>
      <c r="B43" s="19" t="n">
        <f aca="false">MV_TIME_N</f>
        <v>6368.625</v>
      </c>
    </row>
    <row r="44" customFormat="false" ht="15" hidden="false" customHeight="false" outlineLevel="0" collapsed="false">
      <c r="A44" s="9" t="s">
        <v>229</v>
      </c>
      <c r="B44" s="19" t="n">
        <f aca="false">FRANCHISE_N</f>
        <v>435093.75</v>
      </c>
    </row>
    <row r="45" customFormat="false" ht="15" hidden="false" customHeight="false" outlineLevel="0" collapsed="false">
      <c r="A45" s="14" t="s">
        <v>230</v>
      </c>
      <c r="B45" s="20" t="n">
        <f aca="false">B41+B42+B43+B44</f>
        <v>278809.265625</v>
      </c>
    </row>
    <row r="46" customFormat="false" ht="15" hidden="false" customHeight="false" outlineLevel="0" collapsed="false">
      <c r="A46" s="9" t="s">
        <v>231</v>
      </c>
      <c r="B46" s="19" t="n">
        <f aca="false">B45-EVE</f>
        <v>0</v>
      </c>
    </row>
    <row r="48" customFormat="false" ht="15" hidden="false" customHeight="false" outlineLevel="0" collapsed="false">
      <c r="A48" s="2" t="s">
        <v>232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233</v>
      </c>
    </row>
    <row r="2" customFormat="false" ht="15" hidden="false" customHeight="false" outlineLevel="0" collapsed="false">
      <c r="A2" s="2" t="s">
        <v>234</v>
      </c>
    </row>
    <row r="3" customFormat="false" ht="15" hidden="false" customHeight="false" outlineLevel="0" collapsed="false">
      <c r="A3" s="3"/>
      <c r="B3" s="3"/>
      <c r="C3" s="3"/>
      <c r="D3" s="3"/>
      <c r="E3" s="3"/>
      <c r="F3" s="3"/>
    </row>
    <row r="5" customFormat="false" ht="15" hidden="false" customHeight="false" outlineLevel="0" collapsed="false">
      <c r="A5" s="7" t="s">
        <v>235</v>
      </c>
    </row>
    <row r="7" customFormat="false" ht="31.5" hidden="false" customHeight="true" outlineLevel="0" collapsed="false">
      <c r="A7" s="21" t="s">
        <v>236</v>
      </c>
      <c r="B7" s="22" t="s">
        <v>237</v>
      </c>
      <c r="C7" s="22" t="s">
        <v>238</v>
      </c>
      <c r="D7" s="22" t="s">
        <v>239</v>
      </c>
      <c r="E7" s="22" t="s">
        <v>240</v>
      </c>
      <c r="F7" s="22" t="s">
        <v>241</v>
      </c>
    </row>
    <row r="8" customFormat="false" ht="15" hidden="false" customHeight="false" outlineLevel="0" collapsed="false">
      <c r="A8" s="9" t="s">
        <v>242</v>
      </c>
      <c r="B8" s="9" t="s">
        <v>243</v>
      </c>
      <c r="C8" s="23" t="n">
        <v>0.1140107</v>
      </c>
      <c r="D8" s="23" t="n">
        <f aca="false">R1</f>
        <v>0.114010695187166</v>
      </c>
      <c r="E8" s="24" t="n">
        <f aca="false">D8-C8</f>
        <v>-4.81283422837375E-009</v>
      </c>
      <c r="F8" s="25" t="str">
        <f aca="false">IF(ABS(E8)&lt;=0.00000005,"PASS","FAIL")</f>
        <v>PASS</v>
      </c>
    </row>
    <row r="9" customFormat="false" ht="15" hidden="false" customHeight="false" outlineLevel="0" collapsed="false">
      <c r="A9" s="26" t="s">
        <v>242</v>
      </c>
      <c r="B9" s="26" t="s">
        <v>203</v>
      </c>
      <c r="C9" s="27" t="n">
        <v>0.0865891</v>
      </c>
      <c r="D9" s="27" t="n">
        <f aca="false">R2</f>
        <v>0.0865891042780749</v>
      </c>
      <c r="E9" s="28" t="n">
        <f aca="false">D9-C9</f>
        <v>4.27807486658161E-009</v>
      </c>
      <c r="F9" s="29" t="str">
        <f aca="false">IF(ABS(E9)&lt;=0.00000005,"PASS","FAIL")</f>
        <v>PASS</v>
      </c>
    </row>
    <row r="10" customFormat="false" ht="15" hidden="false" customHeight="false" outlineLevel="0" collapsed="false">
      <c r="A10" s="9" t="s">
        <v>242</v>
      </c>
      <c r="B10" s="9" t="s">
        <v>205</v>
      </c>
      <c r="C10" s="23" t="n">
        <v>0.02092732</v>
      </c>
      <c r="D10" s="23" t="n">
        <f aca="false">R3</f>
        <v>0.0209273159707359</v>
      </c>
      <c r="E10" s="24" t="n">
        <f aca="false">D10-C10</f>
        <v>-4.02926409251436E-009</v>
      </c>
      <c r="F10" s="25" t="str">
        <f aca="false">IF(ABS(E10)&lt;=0.00000005,"PASS","FAIL")</f>
        <v>PASS</v>
      </c>
    </row>
    <row r="11" customFormat="false" ht="15" hidden="false" customHeight="false" outlineLevel="0" collapsed="false">
      <c r="A11" s="26" t="s">
        <v>242</v>
      </c>
      <c r="B11" s="26" t="s">
        <v>207</v>
      </c>
      <c r="C11" s="27" t="n">
        <v>0.03884573</v>
      </c>
      <c r="D11" s="27" t="n">
        <f aca="false">R4</f>
        <v>0.0388457280766489</v>
      </c>
      <c r="E11" s="28" t="n">
        <f aca="false">D11-C11</f>
        <v>-1.92335114501674E-009</v>
      </c>
      <c r="F11" s="29" t="str">
        <f aca="false">IF(ABS(E11)&lt;=0.00000005,"PASS","FAIL")</f>
        <v>PASS</v>
      </c>
    </row>
    <row r="12" customFormat="false" ht="15" hidden="false" customHeight="false" outlineLevel="0" collapsed="false">
      <c r="A12" s="9" t="s">
        <v>242</v>
      </c>
      <c r="B12" s="9" t="s">
        <v>244</v>
      </c>
      <c r="C12" s="23" t="n">
        <v>0.11392405</v>
      </c>
      <c r="D12" s="23" t="n">
        <f aca="false">R1_OPEN</f>
        <v>0.113924050632911</v>
      </c>
      <c r="E12" s="24" t="n">
        <f aca="false">D12-C12</f>
        <v>6.32911389963908E-010</v>
      </c>
      <c r="F12" s="25" t="str">
        <f aca="false">IF(ABS(E12)&lt;=0.00000005,"PASS","FAIL")</f>
        <v>PASS</v>
      </c>
    </row>
    <row r="13" customFormat="false" ht="15" hidden="false" customHeight="false" outlineLevel="0" collapsed="false">
      <c r="A13" s="26" t="s">
        <v>242</v>
      </c>
      <c r="B13" s="26" t="s">
        <v>215</v>
      </c>
      <c r="C13" s="27" t="n">
        <v>0.09308338</v>
      </c>
      <c r="D13" s="27" t="n">
        <f aca="false">GAP_1_3</f>
        <v>0.0930833792164299</v>
      </c>
      <c r="E13" s="28" t="n">
        <f aca="false">D13-C13</f>
        <v>-7.8357012545105E-010</v>
      </c>
      <c r="F13" s="29" t="str">
        <f aca="false">IF(ABS(E13)&lt;=0.00000005,"PASS","FAIL")</f>
        <v>PASS</v>
      </c>
    </row>
    <row r="14" customFormat="false" ht="15" hidden="false" customHeight="false" outlineLevel="0" collapsed="false">
      <c r="A14" s="9" t="s">
        <v>242</v>
      </c>
      <c r="B14" s="9" t="s">
        <v>245</v>
      </c>
      <c r="C14" s="19" t="n">
        <v>639600</v>
      </c>
      <c r="D14" s="19" t="n">
        <f aca="false">CET1_1</f>
        <v>639600</v>
      </c>
      <c r="E14" s="24" t="n">
        <f aca="false">D14-C14</f>
        <v>0</v>
      </c>
      <c r="F14" s="25" t="str">
        <f aca="false">IF(ABS(E14)&lt;=0.01,"PASS","FAIL")</f>
        <v>PASS</v>
      </c>
    </row>
    <row r="15" customFormat="false" ht="15" hidden="false" customHeight="false" outlineLevel="0" collapsed="false">
      <c r="A15" s="26" t="s">
        <v>242</v>
      </c>
      <c r="B15" s="26" t="s">
        <v>246</v>
      </c>
      <c r="C15" s="30" t="n">
        <v>156889.78125</v>
      </c>
      <c r="D15" s="30" t="n">
        <f aca="false">TCE</f>
        <v>156889.78125</v>
      </c>
      <c r="E15" s="28" t="n">
        <f aca="false">D15-C15</f>
        <v>0</v>
      </c>
      <c r="F15" s="29" t="str">
        <f aca="false">IF(ABS(E15)&lt;=0.01,"PASS","FAIL")</f>
        <v>PASS</v>
      </c>
    </row>
    <row r="16" customFormat="false" ht="15" hidden="false" customHeight="false" outlineLevel="0" collapsed="false">
      <c r="A16" s="9" t="s">
        <v>242</v>
      </c>
      <c r="B16" s="9" t="s">
        <v>247</v>
      </c>
      <c r="C16" s="19" t="n">
        <v>278809.265625</v>
      </c>
      <c r="D16" s="19" t="n">
        <f aca="false">EVE</f>
        <v>278809.265625</v>
      </c>
      <c r="E16" s="24" t="n">
        <f aca="false">D16-C16</f>
        <v>0</v>
      </c>
      <c r="F16" s="25" t="str">
        <f aca="false">IF(ABS(E16)&lt;=0.01,"PASS","FAIL")</f>
        <v>PASS</v>
      </c>
    </row>
    <row r="17" customFormat="false" ht="15" hidden="false" customHeight="false" outlineLevel="0" collapsed="false">
      <c r="A17" s="26" t="s">
        <v>248</v>
      </c>
      <c r="B17" s="26" t="s">
        <v>249</v>
      </c>
      <c r="C17" s="30" t="n">
        <v>-205113.5</v>
      </c>
      <c r="D17" s="30" t="n">
        <f aca="false">MV_AFS</f>
        <v>-205113.5</v>
      </c>
      <c r="E17" s="28" t="n">
        <f aca="false">D17-C17</f>
        <v>0</v>
      </c>
      <c r="F17" s="29" t="str">
        <f aca="false">IF(ABS(E17)&lt;=0.01,"PASS","FAIL")</f>
        <v>PASS</v>
      </c>
    </row>
    <row r="18" customFormat="false" ht="15" hidden="false" customHeight="false" outlineLevel="0" collapsed="false">
      <c r="A18" s="9" t="s">
        <v>248</v>
      </c>
      <c r="B18" s="9" t="s">
        <v>250</v>
      </c>
      <c r="C18" s="19" t="n">
        <v>-438500.125</v>
      </c>
      <c r="D18" s="19" t="n">
        <f aca="false">MV_HTM</f>
        <v>-438500.125</v>
      </c>
      <c r="E18" s="24" t="n">
        <f aca="false">D18-C18</f>
        <v>0</v>
      </c>
      <c r="F18" s="25" t="str">
        <f aca="false">IF(ABS(E18)&lt;=0.01,"PASS","FAIL")</f>
        <v>PASS</v>
      </c>
    </row>
    <row r="19" customFormat="false" ht="15" hidden="false" customHeight="false" outlineLevel="0" collapsed="false">
      <c r="A19" s="26" t="s">
        <v>248</v>
      </c>
      <c r="B19" s="26" t="s">
        <v>251</v>
      </c>
      <c r="C19" s="30" t="n">
        <v>-426057.1875</v>
      </c>
      <c r="D19" s="30" t="n">
        <f aca="false">MV_FIX</f>
        <v>-426057.1875</v>
      </c>
      <c r="E19" s="28" t="n">
        <f aca="false">D19-C19</f>
        <v>0</v>
      </c>
      <c r="F19" s="29" t="str">
        <f aca="false">IF(ABS(E19)&lt;=0.01,"PASS","FAIL")</f>
        <v>PASS</v>
      </c>
    </row>
    <row r="20" customFormat="false" ht="15" hidden="false" customHeight="false" outlineLevel="0" collapsed="false">
      <c r="A20" s="9" t="s">
        <v>252</v>
      </c>
      <c r="B20" s="9" t="s">
        <v>253</v>
      </c>
      <c r="C20" s="19" t="n">
        <v>435093.75</v>
      </c>
      <c r="D20" s="19" t="n">
        <f aca="false">FRANCHISE_N</f>
        <v>435093.75</v>
      </c>
      <c r="E20" s="24" t="n">
        <f aca="false">D20-C20</f>
        <v>0</v>
      </c>
      <c r="F20" s="25" t="str">
        <f aca="false">IF(ABS(E20)&lt;=0.01,"PASS","FAIL")</f>
        <v>PASS</v>
      </c>
    </row>
    <row r="21" customFormat="false" ht="15" hidden="false" customHeight="false" outlineLevel="0" collapsed="false">
      <c r="A21" s="26" t="s">
        <v>254</v>
      </c>
      <c r="B21" s="26" t="s">
        <v>255</v>
      </c>
      <c r="C21" s="27" t="n">
        <v>0.08531538</v>
      </c>
      <c r="D21" s="27" t="n">
        <f aca="false">D1</f>
        <v>0.0853153799325773</v>
      </c>
      <c r="E21" s="28" t="n">
        <f aca="false">D21-C21</f>
        <v>-6.74227063068855E-011</v>
      </c>
      <c r="F21" s="29" t="str">
        <f aca="false">IF(ABS(E21)&lt;=0.00000005,"PASS","FAIL")</f>
        <v>PASS</v>
      </c>
    </row>
    <row r="22" customFormat="false" ht="15" hidden="false" customHeight="false" outlineLevel="0" collapsed="false">
      <c r="A22" s="9" t="s">
        <v>254</v>
      </c>
      <c r="B22" s="9" t="s">
        <v>256</v>
      </c>
      <c r="C22" s="23" t="n">
        <v>0.06479552</v>
      </c>
      <c r="D22" s="23" t="n">
        <f aca="false">D2</f>
        <v>0.064795520432342</v>
      </c>
      <c r="E22" s="24" t="n">
        <f aca="false">D22-C22</f>
        <v>4.32341967782079E-010</v>
      </c>
      <c r="F22" s="25" t="str">
        <f aca="false">IF(ABS(E22)&lt;=0.00000005,"PASS","FAIL")</f>
        <v>PASS</v>
      </c>
    </row>
    <row r="23" customFormat="false" ht="15" hidden="false" customHeight="false" outlineLevel="0" collapsed="false">
      <c r="A23" s="26" t="s">
        <v>254</v>
      </c>
      <c r="B23" s="26" t="s">
        <v>257</v>
      </c>
      <c r="C23" s="27" t="n">
        <v>0.03718999</v>
      </c>
      <c r="D23" s="27" t="n">
        <f aca="false">D4</f>
        <v>0.0371899912844274</v>
      </c>
      <c r="E23" s="28" t="n">
        <f aca="false">D23-C23</f>
        <v>1.28442734920187E-009</v>
      </c>
      <c r="F23" s="29" t="str">
        <f aca="false">IF(ABS(E23)&lt;=0.00000005,"PASS","FAIL")</f>
        <v>PASS</v>
      </c>
    </row>
    <row r="24" customFormat="false" ht="15" hidden="false" customHeight="false" outlineLevel="0" collapsed="false">
      <c r="A24" s="9" t="s">
        <v>254</v>
      </c>
      <c r="B24" s="9" t="s">
        <v>220</v>
      </c>
      <c r="C24" s="23" t="n">
        <v>0.74831032</v>
      </c>
      <c r="D24" s="23" t="n">
        <f aca="false">DENSITY</f>
        <v>0.74831032117223</v>
      </c>
      <c r="E24" s="24" t="n">
        <f aca="false">D24-C24</f>
        <v>1.1722304238404E-009</v>
      </c>
      <c r="F24" s="25" t="str">
        <f aca="false">IF(ABS(E24)&lt;=0.00000005,"PASS","FAIL")</f>
        <v>PASS</v>
      </c>
    </row>
    <row r="25" customFormat="false" ht="15" hidden="false" customHeight="false" outlineLevel="0" collapsed="false">
      <c r="A25" s="9" t="s">
        <v>242</v>
      </c>
      <c r="B25" s="9" t="s">
        <v>258</v>
      </c>
      <c r="C25" s="23" t="n">
        <v>278809.265625</v>
      </c>
      <c r="D25" s="23" t="n">
        <f aca="false">BRIDGE_EVE</f>
        <v>278809.265625</v>
      </c>
      <c r="E25" s="24" t="n">
        <f aca="false">D25-C25</f>
        <v>0</v>
      </c>
      <c r="F25" s="25" t="str">
        <f aca="false">IF(ABS(E25)&lt;=0.01,"PASS","FAIL")</f>
        <v>PASS</v>
      </c>
    </row>
    <row r="26" customFormat="false" ht="15" hidden="false" customHeight="false" outlineLevel="0" collapsed="false">
      <c r="A26" s="9" t="s">
        <v>242</v>
      </c>
      <c r="B26" s="9" t="s">
        <v>259</v>
      </c>
      <c r="C26" s="23" t="n">
        <v>0</v>
      </c>
      <c r="D26" s="23" t="n">
        <f aca="false">'Four readings'!B46</f>
        <v>0</v>
      </c>
      <c r="E26" s="24" t="n">
        <f aca="false">D26-C26</f>
        <v>0</v>
      </c>
      <c r="F26" s="25" t="str">
        <f aca="false">IF(ABS(E26)&lt;=0.01,"PASS","FAIL")</f>
        <v>PASS</v>
      </c>
    </row>
    <row r="27" customFormat="false" ht="15" hidden="false" customHeight="false" outlineLevel="0" collapsed="false">
      <c r="A27" s="9" t="s">
        <v>242</v>
      </c>
      <c r="B27" s="9" t="s">
        <v>201</v>
      </c>
      <c r="C27" s="23" t="n">
        <v>533764.875</v>
      </c>
      <c r="D27" s="23" t="n">
        <f aca="false">EQUITY1</f>
        <v>533764.875</v>
      </c>
      <c r="E27" s="24" t="n">
        <f aca="false">D27-C27</f>
        <v>0</v>
      </c>
      <c r="F27" s="25" t="str">
        <f aca="false">IF(ABS(E27)&lt;=0.01,"PASS","FAIL")</f>
        <v>PASS</v>
      </c>
    </row>
    <row r="28" customFormat="false" ht="15" hidden="false" customHeight="false" outlineLevel="0" collapsed="false">
      <c r="A28" s="9" t="s">
        <v>242</v>
      </c>
      <c r="B28" s="9" t="s">
        <v>206</v>
      </c>
      <c r="C28" s="23" t="n">
        <v>7496889.78125</v>
      </c>
      <c r="D28" s="23" t="n">
        <f aca="false">TANG_ASSETS</f>
        <v>7496889.78125</v>
      </c>
      <c r="E28" s="24" t="n">
        <f aca="false">D28-C28</f>
        <v>0</v>
      </c>
      <c r="F28" s="25" t="str">
        <f aca="false">IF(ABS(E28)&lt;=0.01,"PASS","FAIL")</f>
        <v>PASS</v>
      </c>
    </row>
    <row r="29" customFormat="false" ht="15" hidden="false" customHeight="false" outlineLevel="0" collapsed="false">
      <c r="A29" s="9" t="s">
        <v>248</v>
      </c>
      <c r="B29" s="9" t="s">
        <v>260</v>
      </c>
      <c r="C29" s="23" t="n">
        <v>-153835.125</v>
      </c>
      <c r="D29" s="23" t="n">
        <f aca="false">MV_AFS_N</f>
        <v>-153835.125</v>
      </c>
      <c r="E29" s="24" t="n">
        <f aca="false">D29-C29</f>
        <v>0</v>
      </c>
      <c r="F29" s="25" t="str">
        <f aca="false">IF(ABS(E29)&lt;=0.01,"PASS","FAIL")</f>
        <v>PASS</v>
      </c>
    </row>
    <row r="30" customFormat="false" ht="15" hidden="false" customHeight="false" outlineLevel="0" collapsed="false">
      <c r="A30" s="9" t="s">
        <v>248</v>
      </c>
      <c r="B30" s="9" t="s">
        <v>261</v>
      </c>
      <c r="C30" s="23" t="n">
        <v>-328875.09375</v>
      </c>
      <c r="D30" s="23" t="n">
        <f aca="false">MV_HTM_N</f>
        <v>-328875.09375</v>
      </c>
      <c r="E30" s="24" t="n">
        <f aca="false">D30-C30</f>
        <v>0</v>
      </c>
      <c r="F30" s="25" t="str">
        <f aca="false">IF(ABS(E30)&lt;=0.01,"PASS","FAIL")</f>
        <v>PASS</v>
      </c>
    </row>
    <row r="31" customFormat="false" ht="15" hidden="false" customHeight="false" outlineLevel="0" collapsed="false">
      <c r="A31" s="9" t="s">
        <v>248</v>
      </c>
      <c r="B31" s="9" t="s">
        <v>262</v>
      </c>
      <c r="C31" s="23" t="n">
        <v>-319542.890625</v>
      </c>
      <c r="D31" s="23" t="n">
        <f aca="false">MV_FIX_N</f>
        <v>-319542.890625</v>
      </c>
      <c r="E31" s="24" t="n">
        <f aca="false">D31-C31</f>
        <v>0</v>
      </c>
      <c r="F31" s="25" t="str">
        <f aca="false">IF(ABS(E31)&lt;=0.01,"PASS","FAIL")</f>
        <v>PASS</v>
      </c>
    </row>
    <row r="32" customFormat="false" ht="15" hidden="false" customHeight="false" outlineLevel="0" collapsed="false">
      <c r="A32" s="9" t="s">
        <v>252</v>
      </c>
      <c r="B32" s="9" t="s">
        <v>263</v>
      </c>
      <c r="C32" s="23" t="n">
        <v>6368.625</v>
      </c>
      <c r="D32" s="23" t="n">
        <f aca="false">MV_TIME_N</f>
        <v>6368.625</v>
      </c>
      <c r="E32" s="24" t="n">
        <f aca="false">D32-C32</f>
        <v>0</v>
      </c>
      <c r="F32" s="25" t="str">
        <f aca="false">IF(ABS(E32)&lt;=0.01,"PASS","FAIL")</f>
        <v>PASS</v>
      </c>
    </row>
    <row r="33" customFormat="false" ht="15" hidden="false" customHeight="false" outlineLevel="0" collapsed="false">
      <c r="A33" s="9" t="s">
        <v>242</v>
      </c>
      <c r="B33" s="9" t="s">
        <v>264</v>
      </c>
      <c r="C33" s="23" t="n">
        <v>0</v>
      </c>
      <c r="D33" s="23" t="n">
        <f aca="false">Inputs!B89</f>
        <v>0</v>
      </c>
      <c r="E33" s="24" t="n">
        <f aca="false">D33-C33</f>
        <v>0</v>
      </c>
      <c r="F33" s="25" t="str">
        <f aca="false">IF(ABS(E33)&lt;=0.01,"PASS","FAIL")</f>
        <v>PASS</v>
      </c>
    </row>
    <row r="35" customFormat="false" ht="15" hidden="false" customHeight="false" outlineLevel="0" collapsed="false">
      <c r="B35" s="14" t="s">
        <v>265</v>
      </c>
      <c r="C35" s="31" t="n">
        <f aca="false">COUNTIF(F8:F33,"PASS")</f>
        <v>26</v>
      </c>
    </row>
    <row r="36" customFormat="false" ht="15" hidden="false" customHeight="false" outlineLevel="0" collapsed="false">
      <c r="B36" s="14" t="s">
        <v>266</v>
      </c>
      <c r="C36" s="31" t="n">
        <f aca="false">COUNTIF(F8:F33,"FAIL")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2026-08-30T20:04:50Z</dcterms:created>
  <dc:creator>openpyxl</dc:creator>
  <dc:description/>
  <dc:language>en-US</dc:language>
  <cp:lastModifiedBy/>
  <dcterms:modified xsi:type="dcterms:W3CDTF">2026-09-24T19:45:14Z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