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Margin" sheetId="3" state="visible" r:id="rId5"/>
    <sheet name="Beta" sheetId="4" state="visible" r:id="rId6"/>
    <sheet name="Floors" sheetId="5" state="visible" r:id="rId7"/>
    <sheet name="Transfer pricing" sheetId="6" state="visible" r:id="rId8"/>
    <sheet name="Marks" sheetId="7" state="visible" r:id="rId9"/>
    <sheet name="Checks" sheetId="8" state="visible" r:id="rId10"/>
  </sheets>
  <definedNames>
    <definedName function="false" hidden="false" name="AFS" vbProcedure="false">Inputs!$B$10</definedName>
    <definedName function="false" hidden="false" name="AOCI0" vbProcedure="false">Inputs!$B$57</definedName>
    <definedName function="false" hidden="false" name="ASSETS_REPRICE" vbProcedure="false">Beta!$B$8</definedName>
    <definedName function="false" hidden="false" name="BETA_ALL" vbProcedure="false">Beta!$B$15</definedName>
    <definedName function="false" hidden="false" name="BETA_ALL_MARGIN" vbProcedure="false">Beta!$B$27</definedName>
    <definedName function="false" hidden="false" name="BETA_BE_ALL" vbProcedure="false">Beta!$B$31</definedName>
    <definedName function="false" hidden="false" name="BETA_BREAKEVEN" vbProcedure="false">Beta!$B$20</definedName>
    <definedName function="false" hidden="false" name="BETA_RATIO" vbProcedure="false">Beta!$B$17</definedName>
    <definedName function="false" hidden="false" name="BETA_SAV" vbProcedure="false">Inputs!$B$46</definedName>
    <definedName function="false" hidden="false" name="BETA_SAV_ONLY" vbProcedure="false">Beta!$B$16</definedName>
    <definedName function="false" hidden="false" name="BETA_TEST" vbProcedure="false">Inputs!$B$80</definedName>
    <definedName function="false" hidden="false" name="BETA_TIME" vbProcedure="false">Inputs!$B$47</definedName>
    <definedName function="false" hidden="false" name="CASH" vbProcedure="false">Inputs!$B$9</definedName>
    <definedName function="false" hidden="false" name="CDI_LIFE" vbProcedure="false">Inputs!$B$83</definedName>
    <definedName function="false" hidden="false" name="COST_BETA_TEST" vbProcedure="false">Beta!$B$21</definedName>
    <definedName function="false" hidden="false" name="COST_RATIO" vbProcedure="false">'Transfer pricing'!$B$28</definedName>
    <definedName function="false" hidden="false" name="CVX_AFS" vbProcedure="false">Inputs!$B$41</definedName>
    <definedName function="false" hidden="false" name="CVX_FIX" vbProcedure="false">Inputs!$B$43</definedName>
    <definedName function="false" hidden="false" name="CVX_HTM" vbProcedure="false">Inputs!$B$42</definedName>
    <definedName function="false" hidden="false" name="C_FHLB" vbProcedure="false">Inputs!$B$34</definedName>
    <definedName function="false" hidden="false" name="C_FHLB1" vbProcedure="false">Margin!$B$19</definedName>
    <definedName function="false" hidden="false" name="C_SAV" vbProcedure="false">Inputs!$B$32</definedName>
    <definedName function="false" hidden="false" name="C_SAV1" vbProcedure="false">Margin!$B$17</definedName>
    <definedName function="false" hidden="false" name="C_SUB" vbProcedure="false">Inputs!$B$35</definedName>
    <definedName function="false" hidden="false" name="C_TIME" vbProcedure="false">Inputs!$B$33</definedName>
    <definedName function="false" hidden="false" name="C_TIME1" vbProcedure="false">Margin!$B$18</definedName>
    <definedName function="false" hidden="false" name="DEP_COST0" vbProcedure="false">'Transfer pricing'!$B$29</definedName>
    <definedName function="false" hidden="false" name="DEP_COST1" vbProcedure="false">'Transfer pricing'!$B$30</definedName>
    <definedName function="false" hidden="false" name="DEP_LIFE" vbProcedure="false">Inputs!$B$45</definedName>
    <definedName function="false" hidden="false" name="DEP_NIB" vbProcedure="false">Inputs!$B$16</definedName>
    <definedName function="false" hidden="false" name="DEP_SAV" vbProcedure="false">Inputs!$B$17</definedName>
    <definedName function="false" hidden="false" name="DEP_TIME" vbProcedure="false">Inputs!$B$18</definedName>
    <definedName function="false" hidden="false" name="DIVIDEND" vbProcedure="false">Inputs!$B$54</definedName>
    <definedName function="false" hidden="false" name="DUR_AFS" vbProcedure="false">Inputs!$B$38</definedName>
    <definedName function="false" hidden="false" name="DUR_FHLB" vbProcedure="false">Inputs!$B$71</definedName>
    <definedName function="false" hidden="false" name="DUR_FIX" vbProcedure="false">Inputs!$B$40</definedName>
    <definedName function="false" hidden="false" name="DUR_HTM" vbProcedure="false">Inputs!$B$39</definedName>
    <definedName function="false" hidden="false" name="DUR_SUB" vbProcedure="false">Inputs!$B$72</definedName>
    <definedName function="false" hidden="false" name="DUR_TIME" vbProcedure="false">Inputs!$B$44</definedName>
    <definedName function="false" hidden="false" name="EARNING" vbProcedure="false">Margin!$B$12</definedName>
    <definedName function="false" hidden="false" name="EQUITY" vbProcedure="false">Inputs!$B$22</definedName>
    <definedName function="false" hidden="false" name="EXP0" vbProcedure="false">Margin!$B$10</definedName>
    <definedName function="false" hidden="false" name="EXP1" vbProcedure="false">Margin!$B$21</definedName>
    <definedName function="false" hidden="false" name="FEES" vbProcedure="false">Inputs!$B$52</definedName>
    <definedName function="false" hidden="false" name="FHLB" vbProcedure="false">Inputs!$B$19</definedName>
    <definedName function="false" hidden="false" name="FHLB_CAP" vbProcedure="false">Inputs!$B$63</definedName>
    <definedName function="false" hidden="false" name="FLOOR_LVL" vbProcedure="false">Inputs!$B$77</definedName>
    <definedName function="false" hidden="false" name="FLOOR_SHARE" vbProcedure="false">Inputs!$B$76</definedName>
    <definedName function="false" hidden="false" name="FLT_ASSUMED" vbProcedure="false">Floors!$B$8</definedName>
    <definedName function="false" hidden="false" name="FLT_BALANCE" vbProcedure="false">Floors!$B$19</definedName>
    <definedName function="false" hidden="false" name="FLT_BEFORE_LAG" vbProcedure="false">Floors!$B$14</definedName>
    <definedName function="false" hidden="false" name="FLT_BETA" vbProcedure="false">Floors!$B$17</definedName>
    <definedName function="false" hidden="false" name="FLT_FLOORED" vbProcedure="false">Floors!$B$9</definedName>
    <definedName function="false" hidden="false" name="FLT_GAIN_FLOOR" vbProcedure="false">Floors!$B$12</definedName>
    <definedName function="false" hidden="false" name="FLT_GAIN_FREE" vbProcedure="false">Floors!$B$13</definedName>
    <definedName function="false" hidden="false" name="FLT_LAG" vbProcedure="false">Floors!$B$15</definedName>
    <definedName function="false" hidden="false" name="FLT_RATE0" vbProcedure="false">Floors!$B$10</definedName>
    <definedName function="false" hidden="false" name="FLT_RATE1" vbProcedure="false">Floors!$B$11</definedName>
    <definedName function="false" hidden="false" name="FLT_REAL" vbProcedure="false">Floors!$B$16</definedName>
    <definedName function="false" hidden="false" name="FLT_SHORTFALL" vbProcedure="false">Floors!$B$18</definedName>
    <definedName function="false" hidden="false" name="FRANCHISE_N" vbProcedure="false">Marks!$B$20</definedName>
    <definedName function="false" hidden="false" name="FTP_CASH" vbProcedure="false">'Transfer pricing'!$B$8</definedName>
    <definedName function="false" hidden="false" name="FTP_MAXDUR" vbProcedure="false">Inputs!$B$70</definedName>
    <definedName function="false" hidden="false" name="FTP_SLOPE" vbProcedure="false">Inputs!$B$69</definedName>
    <definedName function="false" hidden="false" name="GAP_PREDICT" vbProcedure="false">Beta!$B$11</definedName>
    <definedName function="false" hidden="false" name="GOODWILL" vbProcedure="false">Inputs!$B$15</definedName>
    <definedName function="false" hidden="false" name="HAIRCUT_AFS" vbProcedure="false">Inputs!$B$61</definedName>
    <definedName function="false" hidden="false" name="HAIRCUT_HTM" vbProcedure="false">Inputs!$B$62</definedName>
    <definedName function="false" hidden="false" name="HTM" vbProcedure="false">Inputs!$B$11</definedName>
    <definedName function="false" hidden="false" name="INC0" vbProcedure="false">Margin!$B$9</definedName>
    <definedName function="false" hidden="false" name="INC1" vbProcedure="false">Margin!$B$20</definedName>
    <definedName function="false" hidden="false" name="LIAB_REPRICE" vbProcedure="false">Beta!$B$9</definedName>
    <definedName function="false" hidden="false" name="LOANS_FIX" vbProcedure="false">Inputs!$B$12</definedName>
    <definedName function="false" hidden="false" name="LOANS_FLT" vbProcedure="false">Inputs!$B$13</definedName>
    <definedName function="false" hidden="false" name="MKT0" vbProcedure="false">Inputs!$B$25</definedName>
    <definedName function="false" hidden="false" name="MV_AFS" vbProcedure="false">Marks!$B$13</definedName>
    <definedName function="false" hidden="false" name="MV_AFS_N" vbProcedure="false">Marks!$B$16</definedName>
    <definedName function="false" hidden="false" name="MV_FIX" vbProcedure="false">Marks!$B$15</definedName>
    <definedName function="false" hidden="false" name="MV_FIX_N" vbProcedure="false">Marks!$B$18</definedName>
    <definedName function="false" hidden="false" name="MV_HTM" vbProcedure="false">Marks!$B$14</definedName>
    <definedName function="false" hidden="false" name="MV_HTM_N" vbProcedure="false">Marks!$B$17</definedName>
    <definedName function="false" hidden="false" name="MV_TIME_N" vbProcedure="false">Marks!$B$19</definedName>
    <definedName function="false" hidden="false" name="M_AFS" vbProcedure="false">'Transfer pricing'!$B$12</definedName>
    <definedName function="false" hidden="false" name="M_CASH" vbProcedure="false">'Transfer pricing'!$B$11</definedName>
    <definedName function="false" hidden="false" name="M_DEPOSITS" vbProcedure="false">'Transfer pricing'!$B$22</definedName>
    <definedName function="false" hidden="false" name="M_FHLB" vbProcedure="false">'Transfer pricing'!$B$20</definedName>
    <definedName function="false" hidden="false" name="M_FIX" vbProcedure="false">'Transfer pricing'!$B$14</definedName>
    <definedName function="false" hidden="false" name="M_FLT" vbProcedure="false">'Transfer pricing'!$B$15</definedName>
    <definedName function="false" hidden="false" name="M_HTM" vbProcedure="false">'Transfer pricing'!$B$13</definedName>
    <definedName function="false" hidden="false" name="M_LENDING" vbProcedure="false">'Transfer pricing'!$B$16</definedName>
    <definedName function="false" hidden="false" name="M_NIB" vbProcedure="false">'Transfer pricing'!$B$17</definedName>
    <definedName function="false" hidden="false" name="M_SAV" vbProcedure="false">'Transfer pricing'!$B$18</definedName>
    <definedName function="false" hidden="false" name="M_SHARE" vbProcedure="false">'Transfer pricing'!$B$24</definedName>
    <definedName function="false" hidden="false" name="M_SUB" vbProcedure="false">'Transfer pricing'!$B$21</definedName>
    <definedName function="false" hidden="false" name="M_TIME" vbProcedure="false">'Transfer pricing'!$B$19</definedName>
    <definedName function="false" hidden="false" name="M_TREASURY" vbProcedure="false">'Transfer pricing'!$B$23</definedName>
    <definedName function="false" hidden="false" name="NET_INCOME" vbProcedure="false">Margin!$B$27</definedName>
    <definedName function="false" hidden="false" name="NII0" vbProcedure="false">Margin!$B$11</definedName>
    <definedName function="false" hidden="false" name="NII1" vbProcedure="false">Margin!$B$22</definedName>
    <definedName function="false" hidden="false" name="NII_MOVE" vbProcedure="false">Beta!$B$12</definedName>
    <definedName function="false" hidden="false" name="NIM0" vbProcedure="false">Margin!$B$13</definedName>
    <definedName function="false" hidden="false" name="NIM1" vbProcedure="false">Margin!$B$23</definedName>
    <definedName function="false" hidden="false" name="OPEX" vbProcedure="false">Inputs!$B$51</definedName>
    <definedName function="false" hidden="false" name="OPEX_COLLECT" vbProcedure="false">'Transfer pricing'!$B$27</definedName>
    <definedName function="false" hidden="false" name="OPEX_DEP" vbProcedure="false">Inputs!$B$73</definedName>
    <definedName function="false" hidden="false" name="OTHER_ASSETS" vbProcedure="false">Inputs!$B$14</definedName>
    <definedName function="false" hidden="false" name="OTHER_LIAB" vbProcedure="false">Inputs!$B$21</definedName>
    <definedName function="false" hidden="false" name="OUT_FAST" vbProcedure="false">Inputs!$B$65</definedName>
    <definedName function="false" hidden="false" name="OUT_SLOW" vbProcedure="false">Inputs!$B$64</definedName>
    <definedName function="false" hidden="false" name="PBT" vbProcedure="false">Margin!$B$26</definedName>
    <definedName function="false" hidden="false" name="PBT_ALL_READING" vbProcedure="false">Beta!$B$30</definedName>
    <definedName function="false" hidden="false" name="PBT_BETA_TEST" vbProcedure="false">Beta!$B$22</definedName>
    <definedName function="false" hidden="false" name="PBT_REAL" vbProcedure="false">Floors!$B$21</definedName>
    <definedName function="false" hidden="false" name="PROVISION" vbProcedure="false">Inputs!$B$53</definedName>
    <definedName function="false" hidden="false" name="PX_AFS" vbProcedure="false">Marks!$B$8</definedName>
    <definedName function="false" hidden="false" name="PX_FIX" vbProcedure="false">Marks!$B$10</definedName>
    <definedName function="false" hidden="false" name="PX_HTM" vbProcedure="false">Marks!$B$9</definedName>
    <definedName function="false" hidden="false" name="RESET_LAG" vbProcedure="false">Inputs!$B$79</definedName>
    <definedName function="false" hidden="false" name="RESET_SHARE" vbProcedure="false">Inputs!$B$78</definedName>
    <definedName function="false" hidden="false" name="RETAINED" vbProcedure="false">Margin!$B$28</definedName>
    <definedName function="false" hidden="false" name="RWA0" vbProcedure="false">Inputs!$B$55</definedName>
    <definedName function="false" hidden="false" name="RWA1" vbProcedure="false">Inputs!$B$56</definedName>
    <definedName function="false" hidden="false" name="SHOCK" vbProcedure="false">Inputs!$B$26</definedName>
    <definedName function="false" hidden="false" name="SPREAD_FLT" vbProcedure="false">Inputs!$B$31</definedName>
    <definedName function="false" hidden="false" name="SUBDEBT" vbProcedure="false">Inputs!$B$20</definedName>
    <definedName function="false" hidden="false" name="TAX" vbProcedure="false">Inputs!$B$48</definedName>
    <definedName function="false" hidden="false" name="TOT_ASSETS" vbProcedure="false">Inputs!$B$87</definedName>
    <definedName function="false" hidden="false" name="TOT_LIAB" vbProcedure="false">Inputs!$B$88</definedName>
    <definedName function="false" hidden="false" name="UNINS_SHARE" vbProcedure="false">Inputs!$B$60</definedName>
    <definedName function="false" hidden="false" name="WELLCAP" vbProcedure="false">Inputs!$B$66</definedName>
    <definedName function="false" hidden="false" name="WGAP" vbProcedure="false">Beta!$B$10</definedName>
    <definedName function="false" hidden="false" name="WGAP_REAL" vbProcedure="false">Floors!$B$20</definedName>
    <definedName function="false" hidden="false" name="Y_AFS" vbProcedure="false">Inputs!$B$28</definedName>
    <definedName function="false" hidden="false" name="Y_CASH" vbProcedure="false">Inputs!$B$27</definedName>
    <definedName function="false" hidden="false" name="Y_FIX" vbProcedure="false">Inputs!$B$30</definedName>
    <definedName function="false" hidden="false" name="Y_FLT0" vbProcedure="false">Margin!$B$8</definedName>
    <definedName function="false" hidden="false" name="Y_FLT1" vbProcedure="false">Margin!$B$16</definedName>
    <definedName function="false" hidden="false" name="Y_HTM" vbProcedure="false">Inputs!$B$29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<sst xmlns="http://schemas.openxmlformats.org/spreadsheetml/2006/main" count="340" uniqueCount="300">
  <si>
    <t xml:space="preserve">Margin and Deposit Beta</t>
  </si>
  <si>
    <t xml:space="preserve">Workbook two of four — Bank Management, Julian R. Sterling</t>
  </si>
  <si>
    <t xml:space="preserve">What this workbook is</t>
  </si>
  <si>
    <t xml:space="preserve">The net interest margin before and after a shock, decomposed into the asset side and the liability side, with the deposit beta as an input rather than a result.</t>
  </si>
  <si>
    <t xml:space="preserve">It computes the two numbers chapter six argues nobody states: the beta measured on all non-maturity deposits, and the same behaviour measured on the interest-bearing book alone, which on Sagebrook's figures differ by a factor of 1.54. It also solves for the beta at which the year's profit disappears, and prices what contract floors and reset dates take away from a floating book that the model assumes reprices in full.</t>
  </si>
  <si>
    <t xml:space="preserve">The sheets</t>
  </si>
  <si>
    <t xml:space="preserve">Inputs — the only cells you type</t>
  </si>
  <si>
    <t xml:space="preserve">Margin — income, expense and profit, both years</t>
  </si>
  <si>
    <t xml:space="preserve">Beta — the gap, the two betas, and the break-even beta</t>
  </si>
  <si>
    <t xml:space="preserve">Floors — the floating book that does not float</t>
  </si>
  <si>
    <t xml:space="preserve">Transfer pricing — margin by business, and the loaded cost of deposits</t>
  </si>
  <si>
    <t xml:space="preserve">Checks — each printed figure against the live formula</t>
  </si>
  <si>
    <t xml:space="preserve">How to use it on your own bank</t>
  </si>
  <si>
    <t xml:space="preserve">Replace the shaded cells on Inputs with your own figures. Nothing else is typed anywhere in this file: every other cell is a formula, so the whole workbook follows. Start with the balance sheet, then the yields, then the two assumptions that decide most of the answer — the deposit beta and the assumed life of non-maturity deposits.</t>
  </si>
  <si>
    <t xml:space="preserve">The Checks sheet compares each figure printed in the book with the figure this workbook computes on the book's own inputs. All checks should say PASS before you change anything. If one says FAIL after you have edited the inputs, that is expected — you are no longer looking at Sagebrook.</t>
  </si>
  <si>
    <t xml:space="preserve">A warning about two of the inputs</t>
  </si>
  <si>
    <t xml:space="preserve">The assumed deposit life and the deposit beta are judgments, not measurements. Chapter nine of the book prints the surface rather than the point. At its corners the deposit franchise differs by a factor of 6.86 (765,000 against 111,563), and economic equity runs from 608,716 to minus 44,722. Before quoting any figure this workbook produces, look at what it does when those two cells move.</t>
  </si>
  <si>
    <t xml:space="preserve">Revised 24 September 2026</t>
  </si>
  <si>
    <t xml:space="preserve">Floors. The Floors sheet subtracted the whole 15,043 that floors and lags take from the move in the margin from the year's pre-tax income, and the page set it against net income: 55 per cent. The floors lower the move by raising year 0 (3,719 of floor income the margin sheet leaves out, on a 3.95 per cent index under a 4.50 per cent floor); they do not touch year 1. Only the reset lag, 11,324, costs the year: pre-tax income is 25,476, not 21,757, and the loss after tax is 8,493, 30.77 per cent of the year's net income.</t>
  </si>
  <si>
    <t xml:space="preserve">The beta. The margin charges the 35 per cent to the savings book alone, which is 22.68 per cent across all non-maturity deposits. Chapter six and the franchise read the same 35 per cent across all non-maturity deposits, and on that reading the savings book reprices by 54.01 per cent and the year's pre-tax income is 10,620, not 36,800. The break-even is 40.00 per cent on that base: five points away, 7.71 on the savings book, not 26.72. The Beta sheet now shows both; case three of the archive runs both to the end.</t>
  </si>
  <si>
    <t xml:space="preserve">The read-me no longer says the corners of the surface differ by a factor of seven: one of them is negative, so they have no ratio. It is the deposit franchise that differs by a factor of 6.86 between the corners, 765,000 against 111,563.</t>
  </si>
  <si>
    <t xml:space="preserve">Nine checks added, 27 in all. The key lines of every sheet are now set in bold; the first files printed two asterisks in front of them instead.</t>
  </si>
  <si>
    <t xml:space="preserve">Workbook 2 of four. Bank Management, Julian R. Sterling, 2026. julianrsterling.com/franchise</t>
  </si>
  <si>
    <t xml:space="preserve">Inputs</t>
  </si>
  <si>
    <t xml:space="preserve">Sagebrook National Bank. Every shaded cell is yours to change; every other figure in this workbook follows.</t>
  </si>
  <si>
    <t xml:space="preserve">Amounts in thousands of dollars. The book's own figures are the values typed here, and the Checks sheet compares them line by line.</t>
  </si>
  <si>
    <t xml:space="preserve">The balance sheet, in thousands of dollars</t>
  </si>
  <si>
    <t xml:space="preserve">Cash and equivalents</t>
  </si>
  <si>
    <t xml:space="preserve">CASH</t>
  </si>
  <si>
    <t xml:space="preserve">Securities, available for sale</t>
  </si>
  <si>
    <t xml:space="preserve">AFS</t>
  </si>
  <si>
    <t xml:space="preserve">Securities, held to maturity</t>
  </si>
  <si>
    <t xml:space="preserve">HTM</t>
  </si>
  <si>
    <t xml:space="preserve">Loans, fixed rate</t>
  </si>
  <si>
    <t xml:space="preserve">LOANS_FIX</t>
  </si>
  <si>
    <t xml:space="preserve">Loans, floating rate</t>
  </si>
  <si>
    <t xml:space="preserve">LOANS_FLT</t>
  </si>
  <si>
    <t xml:space="preserve">Other assets</t>
  </si>
  <si>
    <t xml:space="preserve">OTHER_ASSETS</t>
  </si>
  <si>
    <t xml:space="preserve">   of which goodwill</t>
  </si>
  <si>
    <t xml:space="preserve">GOODWILL</t>
  </si>
  <si>
    <t xml:space="preserve">Deposits, non-interest-bearing</t>
  </si>
  <si>
    <t xml:space="preserve">DEP_NIB</t>
  </si>
  <si>
    <t xml:space="preserve">Deposits, savings and interest-bearing</t>
  </si>
  <si>
    <t xml:space="preserve">DEP_SAV</t>
  </si>
  <si>
    <t xml:space="preserve">Deposits, time</t>
  </si>
  <si>
    <t xml:space="preserve">DEP_TIME</t>
  </si>
  <si>
    <t xml:space="preserve">FHLB advances</t>
  </si>
  <si>
    <t xml:space="preserve">FHLB</t>
  </si>
  <si>
    <t xml:space="preserve">Subordinated debt</t>
  </si>
  <si>
    <t xml:space="preserve">SUBDEBT</t>
  </si>
  <si>
    <t xml:space="preserve">Other liabilities</t>
  </si>
  <si>
    <t xml:space="preserve">OTHER_LIAB</t>
  </si>
  <si>
    <t xml:space="preserve">Common equity, opening</t>
  </si>
  <si>
    <t xml:space="preserve">EQUITY</t>
  </si>
  <si>
    <t xml:space="preserve">Rates</t>
  </si>
  <si>
    <t xml:space="preserve">Market rate, year 0</t>
  </si>
  <si>
    <t xml:space="preserve">MKT0</t>
  </si>
  <si>
    <t xml:space="preserve">Rate shock over the year</t>
  </si>
  <si>
    <t xml:space="preserve">SHOCK</t>
  </si>
  <si>
    <t xml:space="preserve">Yield on cash</t>
  </si>
  <si>
    <t xml:space="preserve">Y_CASH</t>
  </si>
  <si>
    <t xml:space="preserve">Yield on available-for-sale securities</t>
  </si>
  <si>
    <t xml:space="preserve">Y_AFS</t>
  </si>
  <si>
    <t xml:space="preserve">Yield on held-to-maturity securities</t>
  </si>
  <si>
    <t xml:space="preserve">Y_HTM</t>
  </si>
  <si>
    <t xml:space="preserve">Yield on fixed-rate loans</t>
  </si>
  <si>
    <t xml:space="preserve">Y_FIX</t>
  </si>
  <si>
    <t xml:space="preserve">Spread over the index on floating loans</t>
  </si>
  <si>
    <t xml:space="preserve">SPREAD_FLT</t>
  </si>
  <si>
    <t xml:space="preserve">Cost of savings deposits, year 0</t>
  </si>
  <si>
    <t xml:space="preserve">C_SAV</t>
  </si>
  <si>
    <t xml:space="preserve">Cost of time deposits, year 0</t>
  </si>
  <si>
    <t xml:space="preserve">C_TIME</t>
  </si>
  <si>
    <t xml:space="preserve">Cost of FHLB advances, year 0</t>
  </si>
  <si>
    <t xml:space="preserve">C_FHLB</t>
  </si>
  <si>
    <t xml:space="preserve">Cost of subordinated debt</t>
  </si>
  <si>
    <t xml:space="preserve">C_SUB</t>
  </si>
  <si>
    <t xml:space="preserve">Behaviour and price sensitivity</t>
  </si>
  <si>
    <t xml:space="preserve">Duration, available for sale</t>
  </si>
  <si>
    <t xml:space="preserve">DUR_AFS</t>
  </si>
  <si>
    <t xml:space="preserve">Duration, held to maturity</t>
  </si>
  <si>
    <t xml:space="preserve">DUR_HTM</t>
  </si>
  <si>
    <t xml:space="preserve">Duration, fixed-rate loans</t>
  </si>
  <si>
    <t xml:space="preserve">DUR_FIX</t>
  </si>
  <si>
    <t xml:space="preserve">Convexity, available for sale</t>
  </si>
  <si>
    <t xml:space="preserve">CVX_AFS</t>
  </si>
  <si>
    <t xml:space="preserve">Convexity, held to maturity</t>
  </si>
  <si>
    <t xml:space="preserve">CVX_HTM</t>
  </si>
  <si>
    <t xml:space="preserve">Convexity, fixed-rate loans</t>
  </si>
  <si>
    <t xml:space="preserve">CVX_FIX</t>
  </si>
  <si>
    <t xml:space="preserve">Duration, time deposits</t>
  </si>
  <si>
    <t xml:space="preserve">DUR_TIME</t>
  </si>
  <si>
    <t xml:space="preserve">Assumed life of non-maturity deposits, years</t>
  </si>
  <si>
    <t xml:space="preserve">DEP_LIFE</t>
  </si>
  <si>
    <t xml:space="preserve">Deposit beta, savings</t>
  </si>
  <si>
    <t xml:space="preserve">BETA_SAV</t>
  </si>
  <si>
    <t xml:space="preserve">Deposit beta, time deposits</t>
  </si>
  <si>
    <t xml:space="preserve">BETA_TIME</t>
  </si>
  <si>
    <t xml:space="preserve">Tax rate</t>
  </si>
  <si>
    <t xml:space="preserve">TAX</t>
  </si>
  <si>
    <t xml:space="preserve">The year's profit, and capital</t>
  </si>
  <si>
    <t xml:space="preserve">Operating expenses</t>
  </si>
  <si>
    <t xml:space="preserve">OPEX</t>
  </si>
  <si>
    <t xml:space="preserve">Fee and other income</t>
  </si>
  <si>
    <t xml:space="preserve">FEES</t>
  </si>
  <si>
    <t xml:space="preserve">Provision for credit losses</t>
  </si>
  <si>
    <t xml:space="preserve">PROVISION</t>
  </si>
  <si>
    <t xml:space="preserve">Dividends paid</t>
  </si>
  <si>
    <t xml:space="preserve">DIVIDEND</t>
  </si>
  <si>
    <t xml:space="preserve">Risk-weighted assets, opening</t>
  </si>
  <si>
    <t xml:space="preserve">RWA0</t>
  </si>
  <si>
    <t xml:space="preserve">Risk-weighted assets, year end</t>
  </si>
  <si>
    <t xml:space="preserve">RWA1</t>
  </si>
  <si>
    <t xml:space="preserve">Opening AOCI, gross of tax</t>
  </si>
  <si>
    <t xml:space="preserve">AOCI0</t>
  </si>
  <si>
    <t xml:space="preserve">Liquidity</t>
  </si>
  <si>
    <t xml:space="preserve">Share of deposits above the insurance limit</t>
  </si>
  <si>
    <t xml:space="preserve">UNINS_SHARE</t>
  </si>
  <si>
    <t xml:space="preserve">Haircut on pledged AFS securities</t>
  </si>
  <si>
    <t xml:space="preserve">HAIRCUT_AFS</t>
  </si>
  <si>
    <t xml:space="preserve">Haircut on pledged HTM securities</t>
  </si>
  <si>
    <t xml:space="preserve">HAIRCUT_HTM</t>
  </si>
  <si>
    <t xml:space="preserve">Total FHLB borrowing capacity</t>
  </si>
  <si>
    <t xml:space="preserve">FHLB_CAP</t>
  </si>
  <si>
    <t xml:space="preserve">Deposit outflow, slow scenario, per day</t>
  </si>
  <si>
    <t xml:space="preserve">OUT_SLOW</t>
  </si>
  <si>
    <t xml:space="preserve">Deposit outflow, fast scenario, per day</t>
  </si>
  <si>
    <t xml:space="preserve">OUT_FAST</t>
  </si>
  <si>
    <t xml:space="preserve">Well-capitalized CET1 threshold</t>
  </si>
  <si>
    <t xml:space="preserve">WELLCAP</t>
  </si>
  <si>
    <t xml:space="preserve">Funds transfer pricing</t>
  </si>
  <si>
    <t xml:space="preserve">Internal curve, per year of duration</t>
  </si>
  <si>
    <t xml:space="preserve">FTP_SLOPE</t>
  </si>
  <si>
    <t xml:space="preserve">Internal curve, flat beyond this duration</t>
  </si>
  <si>
    <t xml:space="preserve">FTP_MAXDUR</t>
  </si>
  <si>
    <t xml:space="preserve">Duration, FHLB advances</t>
  </si>
  <si>
    <t xml:space="preserve">DUR_FHLB</t>
  </si>
  <si>
    <t xml:space="preserve">Duration, subordinated debt</t>
  </si>
  <si>
    <t xml:space="preserve">DUR_SUB</t>
  </si>
  <si>
    <t xml:space="preserve">Share of expenses charged to deposit gathering</t>
  </si>
  <si>
    <t xml:space="preserve">OPEX_DEP</t>
  </si>
  <si>
    <t xml:space="preserve">The floating book, as written</t>
  </si>
  <si>
    <t xml:space="preserve">Share of floating loans carrying a floor</t>
  </si>
  <si>
    <t xml:space="preserve">FLOOR_SHARE</t>
  </si>
  <si>
    <t xml:space="preserve">Average level of that floor</t>
  </si>
  <si>
    <t xml:space="preserve">FLOOR_LVL</t>
  </si>
  <si>
    <t xml:space="preserve">Share of floating loans resetting annually</t>
  </si>
  <si>
    <t xml:space="preserve">RESET_SHARE</t>
  </si>
  <si>
    <t xml:space="preserve">Average lag to the next reset, years</t>
  </si>
  <si>
    <t xml:space="preserve">RESET_LAG</t>
  </si>
  <si>
    <t xml:space="preserve">A deposit beta to test the year's profit against</t>
  </si>
  <si>
    <t xml:space="preserve">BETA_TEST</t>
  </si>
  <si>
    <t xml:space="preserve">What a buyer would pay</t>
  </si>
  <si>
    <t xml:space="preserve">Amortization life of the deposit intangible, years</t>
  </si>
  <si>
    <t xml:space="preserve">CDI_LIFE</t>
  </si>
  <si>
    <t xml:space="preserve">Two totals, so that an edit that unbalances the balance sheet is visible</t>
  </si>
  <si>
    <t xml:space="preserve">Total assets</t>
  </si>
  <si>
    <t xml:space="preserve">Total liabilities and equity</t>
  </si>
  <si>
    <t xml:space="preserve">Difference — must be zero</t>
  </si>
  <si>
    <t xml:space="preserve">If this is not zero the balance sheet does not balance, and nothing downstream means anything.</t>
  </si>
  <si>
    <t xml:space="preserve">The margin, before and after</t>
  </si>
  <si>
    <t xml:space="preserve">Two years of net interest income, and the profit that follows.</t>
  </si>
  <si>
    <t xml:space="preserve">The margin, year 0</t>
  </si>
  <si>
    <t xml:space="preserve">Yield on floating loans, year 0</t>
  </si>
  <si>
    <t xml:space="preserve">Interest income, year 0</t>
  </si>
  <si>
    <t xml:space="preserve">Interest expense, year 0</t>
  </si>
  <si>
    <t xml:space="preserve">Net interest income, year 0</t>
  </si>
  <si>
    <t xml:space="preserve">Earning assets</t>
  </si>
  <si>
    <t xml:space="preserve">Net interest margin, year 0</t>
  </si>
  <si>
    <t xml:space="preserve">The margin, year 1 — the shock year</t>
  </si>
  <si>
    <t xml:space="preserve">Yield on floating loans, year 1</t>
  </si>
  <si>
    <t xml:space="preserve">Cost of savings deposits, year 1</t>
  </si>
  <si>
    <t xml:space="preserve">Cost of time deposits, year 1</t>
  </si>
  <si>
    <t xml:space="preserve">Cost of FHLB advances, year 1</t>
  </si>
  <si>
    <t xml:space="preserve">Interest income, year 1</t>
  </si>
  <si>
    <t xml:space="preserve">Interest expense, year 1</t>
  </si>
  <si>
    <t xml:space="preserve">Net interest income, year 1</t>
  </si>
  <si>
    <t xml:space="preserve">Net interest margin, year 1</t>
  </si>
  <si>
    <t xml:space="preserve">The year's profit</t>
  </si>
  <si>
    <t xml:space="preserve">Pre-tax income</t>
  </si>
  <si>
    <t xml:space="preserve">Net income</t>
  </si>
  <si>
    <t xml:space="preserve">Retained</t>
  </si>
  <si>
    <t xml:space="preserve">The move, decomposed</t>
  </si>
  <si>
    <t xml:space="preserve">Change in interest income, the asset side</t>
  </si>
  <si>
    <t xml:space="preserve">Change in interest expense, the liability side</t>
  </si>
  <si>
    <t xml:space="preserve">Change in net interest income</t>
  </si>
  <si>
    <t xml:space="preserve">The deposit beta, and the gap it drives</t>
  </si>
  <si>
    <t xml:space="preserve">The same behaviour, measured two ways, differing by half.</t>
  </si>
  <si>
    <t xml:space="preserve">The repricing gap, weighted by behaviour</t>
  </si>
  <si>
    <t xml:space="preserve">Assets that reprice within the year</t>
  </si>
  <si>
    <t xml:space="preserve">Liabilities that reprice, weighted by their betas</t>
  </si>
  <si>
    <t xml:space="preserve">Weighted gap</t>
  </si>
  <si>
    <t xml:space="preserve">What the gap predicts for the margin</t>
  </si>
  <si>
    <t xml:space="preserve">What the margin actually did</t>
  </si>
  <si>
    <t xml:space="preserve">The deposit beta, measured two ways</t>
  </si>
  <si>
    <t xml:space="preserve">On all non-maturity deposits</t>
  </si>
  <si>
    <t xml:space="preserve">On the interest-bearing book alone</t>
  </si>
  <si>
    <t xml:space="preserve">The two differ by</t>
  </si>
  <si>
    <t xml:space="preserve">The beta that erases the year</t>
  </si>
  <si>
    <t xml:space="preserve">Beta at which pre-tax income reaches zero</t>
  </si>
  <si>
    <t xml:space="preserve">What the tested beta costs</t>
  </si>
  <si>
    <t xml:space="preserve">Pre-tax income at the tested beta</t>
  </si>
  <si>
    <t xml:space="preserve">One 35 per cent, two denominators</t>
  </si>
  <si>
    <t xml:space="preserve">What the margin charges: the savings book reprices by</t>
  </si>
  <si>
    <t xml:space="preserve">That charge, as a beta on all non-maturity deposits</t>
  </si>
  <si>
    <t xml:space="preserve">Read as chapter six reads it, across all non-maturity deposits: savings beta</t>
  </si>
  <si>
    <t xml:space="preserve">The extra cost on that reading</t>
  </si>
  <si>
    <t xml:space="preserve">Pre-tax income on that reading</t>
  </si>
  <si>
    <t xml:space="preserve">Beta at which pre-tax income reaches zero, on all non-maturity deposits</t>
  </si>
  <si>
    <t xml:space="preserve">Headroom on the savings book, on the chapter six reading</t>
  </si>
  <si>
    <t xml:space="preserve">The margin applies the 35 per cent to the savings book alone; the franchise and chapter six apply it to all non-maturity deposits. The break-even is the same number of dollars either way; what changes is how far away it is.</t>
  </si>
  <si>
    <t xml:space="preserve">The floating book, as written and as it behaves</t>
  </si>
  <si>
    <t xml:space="preserve">Floors and reset dates, and what they take from the repricing.</t>
  </si>
  <si>
    <t xml:space="preserve">Gain the case assumes</t>
  </si>
  <si>
    <t xml:space="preserve">Balance carrying a floor</t>
  </si>
  <si>
    <t xml:space="preserve">Rate served on those loans, year 0</t>
  </si>
  <si>
    <t xml:space="preserve">Rate served on those loans, year 1</t>
  </si>
  <si>
    <t xml:space="preserve">Gain on the floored loans</t>
  </si>
  <si>
    <t xml:space="preserve">Gain on the unfloored loans</t>
  </si>
  <si>
    <t xml:space="preserve">Gain before the reset lag</t>
  </si>
  <si>
    <t xml:space="preserve">What the reset lag removes</t>
  </si>
  <si>
    <t xml:space="preserve">Gain actually earned</t>
  </si>
  <si>
    <t xml:space="preserve">Effective beta of the floating book</t>
  </si>
  <si>
    <t xml:space="preserve">What floors and lags take from the margin</t>
  </si>
  <si>
    <t xml:space="preserve">The balance that, in effect, does not reprice</t>
  </si>
  <si>
    <t xml:space="preserve">The weighted gap, corrected</t>
  </si>
  <si>
    <t xml:space="preserve">Pre-tax income, corrected: only the reset lag costs the year</t>
  </si>
  <si>
    <t xml:space="preserve">Floor income the model leaves out of year 0</t>
  </si>
  <si>
    <t xml:space="preserve">Net interest income, year 0, with the floors counted</t>
  </si>
  <si>
    <t xml:space="preserve">What floors and lags take from the move: the floors, plus the lag</t>
  </si>
  <si>
    <t xml:space="preserve">The lag's cost to the year, after tax</t>
  </si>
  <si>
    <t xml:space="preserve">  as a share of the year's net income</t>
  </si>
  <si>
    <t xml:space="preserve">The whole shortfall, before tax, over net income after tax (not like for like)</t>
  </si>
  <si>
    <t xml:space="preserve">The floors lower the move in the margin by raising year 0, where a 3.95 per cent index sits under a 4.50 per cent floor; they do not lower year 1, where the index is above every floor. Only the reset lag costs the year.</t>
  </si>
  <si>
    <t xml:space="preserve">Who inside the bank earns the margin</t>
  </si>
  <si>
    <t xml:space="preserve">Funds transfer pricing, and the fully loaded cost of a deposit.</t>
  </si>
  <si>
    <t xml:space="preserve">The internal transfer curve</t>
  </si>
  <si>
    <t xml:space="preserve">Rate charged at zero duration</t>
  </si>
  <si>
    <t xml:space="preserve">Margin by business, against a funding of the same duration</t>
  </si>
  <si>
    <t xml:space="preserve">Cash</t>
  </si>
  <si>
    <t xml:space="preserve">Available for sale</t>
  </si>
  <si>
    <t xml:space="preserve">Held to maturity</t>
  </si>
  <si>
    <t xml:space="preserve">Fixed-rate loans</t>
  </si>
  <si>
    <t xml:space="preserve">Floating-rate loans</t>
  </si>
  <si>
    <t xml:space="preserve">Lending, total</t>
  </si>
  <si>
    <t xml:space="preserve">Non-interest-bearing deposits</t>
  </si>
  <si>
    <t xml:space="preserve">Savings deposits</t>
  </si>
  <si>
    <t xml:space="preserve">Time deposits</t>
  </si>
  <si>
    <t xml:space="preserve">Deposit gathering, total</t>
  </si>
  <si>
    <t xml:space="preserve">Treasury book</t>
  </si>
  <si>
    <t xml:space="preserve">Share of the margin earned by gathering deposits</t>
  </si>
  <si>
    <t xml:space="preserve">The fully loaded cost of a deposit</t>
  </si>
  <si>
    <t xml:space="preserve">Expenses charged to deposit gathering</t>
  </si>
  <si>
    <t xml:space="preserve">Cost-to-income ratio</t>
  </si>
  <si>
    <t xml:space="preserve">Fully loaded cost of deposits, year 0</t>
  </si>
  <si>
    <t xml:space="preserve">Fully loaded cost of deposits, year 1</t>
  </si>
  <si>
    <t xml:space="preserve">The marks</t>
  </si>
  <si>
    <t xml:space="preserve">Needed for the year-end capital position.</t>
  </si>
  <si>
    <t xml:space="preserve">Price change under the shock, duration and convexity</t>
  </si>
  <si>
    <t xml:space="preserve">Price change, available for sale</t>
  </si>
  <si>
    <t xml:space="preserve">Price change, held to maturity</t>
  </si>
  <si>
    <t xml:space="preserve">Price change, fixed-rate loans</t>
  </si>
  <si>
    <t xml:space="preserve">The marks, gross and net of tax</t>
  </si>
  <si>
    <t xml:space="preserve">Available for sale, gross</t>
  </si>
  <si>
    <t xml:space="preserve">Held to maturity, gross</t>
  </si>
  <si>
    <t xml:space="preserve">Fixed-rate loans, gross</t>
  </si>
  <si>
    <t xml:space="preserve">Available for sale, net of tax</t>
  </si>
  <si>
    <t xml:space="preserve">Held to maturity, net of tax</t>
  </si>
  <si>
    <t xml:space="preserve">Fixed-rate loans, net of tax</t>
  </si>
  <si>
    <t xml:space="preserve">Time deposits, net of tax (a liability losing value is a gain)</t>
  </si>
  <si>
    <t xml:space="preserve">Deposit franchise, net of tax</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</si>
  <si>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</si>
  <si>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</si>
  <si>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</si>
  <si>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</si>
  <si>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</si>
  <si>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</si>
  <si>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</si>
  <si>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</si>
  <si>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</si>
  <si>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3</t>
  </si>
  <si>
    <t xml:space="preserve">4</t>
  </si>
  <si>
    <t xml:space="preserve">Margin earned by lending</t>
  </si>
  <si>
    <t xml:space="preserve">Margin earned by gathering deposits</t>
  </si>
  <si>
    <t xml:space="preserve">5</t>
  </si>
  <si>
    <t xml:space="preserve">6</t>
  </si>
  <si>
    <t xml:space="preserve">Deposit beta, measured on the savings book alone</t>
  </si>
  <si>
    <t xml:space="preserve">Beta at which the year's pre-tax income reaches zero</t>
  </si>
  <si>
    <t xml:space="preserve">Pre-tax income at a 62 per cent beta</t>
  </si>
  <si>
    <t xml:space="preserve">8</t>
  </si>
  <si>
    <t xml:space="preserve">Gain actually earned on the floating book</t>
  </si>
  <si>
    <t xml:space="preserve">Lending, deposit gathering and treasury add to the year-0 margin</t>
  </si>
  <si>
    <t xml:space="preserve">The margin's 35 per cent, as a beta on all non-maturity deposits (revised)</t>
  </si>
  <si>
    <t xml:space="preserve">Pre-tax income if the 35 per cent is read across all non-maturity deposits (revised)</t>
  </si>
  <si>
    <t xml:space="preserve">Break-even beta on all non-maturity deposits (revised)</t>
  </si>
  <si>
    <t xml:space="preserve">Pre-tax income, corrected for the reset lag (revised: not 21,757)</t>
  </si>
  <si>
    <t xml:space="preserve">The lag's cost after tax, as a share of net income (revised: not 55 per cent)</t>
  </si>
  <si>
    <t xml:space="preserve">Checks that pass</t>
  </si>
  <si>
    <t xml:space="preserve">Checks that fail</t>
  </si>
</sst>
</file>

<file path=xl/styles.xml><?xml version="1.0" encoding="utf-8"?>
<styleSheet xmlns="http://schemas.openxmlformats.org/spreadsheetml/2006/main">
  <numFmts count="10">
    <numFmt numFmtId="164" formatCode="General"/>
    <numFmt numFmtId="165" formatCode="#,##0;\-#,##0"/>
    <numFmt numFmtId="166" formatCode="0.00%;\-0.00%"/>
    <numFmt numFmtId="167" formatCode="0.00"/>
    <numFmt numFmtId="168" formatCode="0.00\x"/>
    <numFmt numFmtId="169" formatCode="#,##0.00;\-#,##0.00"/>
    <numFmt numFmtId="170" formatCode="0.00000000"/>
    <numFmt numFmtId="171" formatCode="@"/>
    <numFmt numFmtId="172" formatCode="0.0000%;\-0.0000%"/>
    <numFmt numFmtId="173" formatCode="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i val="true"/>
      <sz val="9"/>
      <color rgb="FF5A6A70"/>
      <name val="Calibri"/>
      <family val="0"/>
      <charset val="1"/>
    </font>
    <font>
      <b val="true"/>
      <sz val="11"/>
      <color rgb="FF0B4FA0"/>
      <name val="Calibri"/>
      <family val="0"/>
      <charset val="1"/>
    </font>
    <font>
      <sz val="9"/>
      <color rgb="FF9AA6AC"/>
      <name val="Consolas"/>
      <family val="0"/>
      <charset val="1"/>
    </font>
    <font>
      <b val="true"/>
      <sz val="11"/>
      <color rgb="FF1A1A1A"/>
      <name val="Calibri"/>
      <family val="0"/>
      <charset val="1"/>
    </font>
    <font>
      <b val="true"/>
      <sz val="10"/>
      <color rgb="FFFFFFFF"/>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9" fillId="2" borderId="3"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9" fillId="2" borderId="3" xfId="0" applyFont="true" applyBorder="true" applyAlignment="false" applyProtection="false">
      <alignment horizontal="general" vertical="bottom" textRotation="0" wrapText="false" indent="0" shrinkToFit="false"/>
      <protection locked="true" hidden="false"/>
    </xf>
    <xf numFmtId="167" fontId="9" fillId="2" borderId="3"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4" fontId="12" fillId="3" borderId="3" xfId="0" applyFont="true" applyBorder="true" applyAlignment="true" applyProtection="false">
      <alignment horizontal="left" vertical="center" textRotation="0" wrapText="true" indent="0" shrinkToFit="false"/>
      <protection locked="true" hidden="false"/>
    </xf>
    <xf numFmtId="164" fontId="12" fillId="3" borderId="3" xfId="0" applyFont="true" applyBorder="true" applyAlignment="true" applyProtection="false">
      <alignment horizontal="right" vertical="center" textRotation="0" wrapText="tru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1" fontId="11"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11" fillId="4"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AA6AC"/>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60" hidden="false" customHeight="true" outlineLevel="0" collapsed="false">
      <c r="A9" s="5" t="s">
        <v>4</v>
      </c>
    </row>
    <row r="11" customFormat="false" ht="15" hidden="false" customHeight="false" outlineLevel="0" collapsed="false">
      <c r="A11" s="4" t="s">
        <v>5</v>
      </c>
    </row>
    <row r="13" customFormat="false" ht="15" hidden="false" customHeight="true" outlineLevel="0" collapsed="false">
      <c r="A13" s="5" t="s">
        <v>6</v>
      </c>
    </row>
    <row r="14" customFormat="false" ht="15" hidden="false" customHeight="true" outlineLevel="0" collapsed="false">
      <c r="A14" s="5" t="s">
        <v>7</v>
      </c>
    </row>
    <row r="15" customFormat="false" ht="15" hidden="false" customHeight="true" outlineLevel="0" collapsed="false">
      <c r="A15" s="5" t="s">
        <v>8</v>
      </c>
    </row>
    <row r="16" customFormat="false" ht="15" hidden="false" customHeight="true" outlineLevel="0" collapsed="false">
      <c r="A16" s="5" t="s">
        <v>9</v>
      </c>
    </row>
    <row r="17" customFormat="false" ht="15" hidden="false" customHeight="true" outlineLevel="0" collapsed="false">
      <c r="A17" s="5" t="s">
        <v>10</v>
      </c>
    </row>
    <row r="18" customFormat="false" ht="15" hidden="false" customHeight="true" outlineLevel="0" collapsed="false">
      <c r="A18" s="5" t="s">
        <v>11</v>
      </c>
    </row>
    <row r="20" customFormat="false" ht="15" hidden="false" customHeight="false" outlineLevel="0" collapsed="false">
      <c r="A20" s="4" t="s">
        <v>12</v>
      </c>
    </row>
    <row r="22" customFormat="false" ht="60" hidden="false" customHeight="true" outlineLevel="0" collapsed="false">
      <c r="A22" s="5" t="s">
        <v>13</v>
      </c>
    </row>
    <row r="24" customFormat="false" ht="45" hidden="false" customHeight="true" outlineLevel="0" collapsed="false">
      <c r="A24" s="5" t="s">
        <v>14</v>
      </c>
    </row>
    <row r="26" customFormat="false" ht="15" hidden="false" customHeight="false" outlineLevel="0" collapsed="false">
      <c r="A26" s="4" t="s">
        <v>15</v>
      </c>
    </row>
    <row r="28" customFormat="false" ht="45" hidden="false" customHeight="true" outlineLevel="0" collapsed="false">
      <c r="A28" s="5" t="s">
        <v>16</v>
      </c>
    </row>
    <row r="30" customFormat="false" ht="15" hidden="false" customHeight="false" outlineLevel="0" collapsed="false">
      <c r="A30" s="4" t="s">
        <v>17</v>
      </c>
    </row>
    <row r="32" customFormat="false" ht="90" hidden="false" customHeight="true" outlineLevel="0" collapsed="false">
      <c r="A32" s="5" t="s">
        <v>18</v>
      </c>
    </row>
    <row r="34" customFormat="false" ht="90" hidden="false" customHeight="true" outlineLevel="0" collapsed="false">
      <c r="A34" s="5" t="s">
        <v>19</v>
      </c>
    </row>
    <row r="36" customFormat="false" ht="45" hidden="false" customHeight="true" outlineLevel="0" collapsed="false">
      <c r="A36" s="5" t="s">
        <v>20</v>
      </c>
    </row>
    <row r="38" customFormat="false" ht="30" hidden="false" customHeight="true" outlineLevel="0" collapsed="false">
      <c r="A38" s="5" t="s">
        <v>21</v>
      </c>
    </row>
    <row r="40" customFormat="false" ht="15" hidden="false" customHeight="true" outlineLevel="0" collapsed="false">
      <c r="A40" s="6" t="s">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0"/>
  </cols>
  <sheetData>
    <row r="1" customFormat="false" ht="24" hidden="false" customHeight="true" outlineLevel="0" collapsed="false">
      <c r="A1" s="1" t="s">
        <v>23</v>
      </c>
    </row>
    <row r="2" customFormat="false" ht="15" hidden="false" customHeight="false" outlineLevel="0" collapsed="false">
      <c r="A2" s="2" t="s">
        <v>24</v>
      </c>
    </row>
    <row r="3" customFormat="false" ht="15" hidden="false" customHeight="false" outlineLevel="0" collapsed="false">
      <c r="A3" s="3"/>
      <c r="B3" s="3"/>
      <c r="C3" s="3"/>
    </row>
    <row r="5" customFormat="false" ht="15" hidden="false" customHeight="false" outlineLevel="0" collapsed="false">
      <c r="A5" s="7" t="s">
        <v>25</v>
      </c>
    </row>
    <row r="7" customFormat="false" ht="15" hidden="false" customHeight="false" outlineLevel="0" collapsed="false">
      <c r="A7" s="4" t="s">
        <v>26</v>
      </c>
      <c r="B7" s="8"/>
      <c r="C7" s="8"/>
    </row>
    <row r="9" customFormat="false" ht="15" hidden="false" customHeight="false" outlineLevel="0" collapsed="false">
      <c r="A9" s="9" t="s">
        <v>27</v>
      </c>
      <c r="B9" s="10" t="n">
        <v>420000</v>
      </c>
      <c r="C9" s="11" t="s">
        <v>28</v>
      </c>
    </row>
    <row r="10" customFormat="false" ht="15" hidden="false" customHeight="false" outlineLevel="0" collapsed="false">
      <c r="A10" s="9" t="s">
        <v>29</v>
      </c>
      <c r="B10" s="10" t="n">
        <v>1180000</v>
      </c>
      <c r="C10" s="11" t="s">
        <v>30</v>
      </c>
    </row>
    <row r="11" customFormat="false" ht="15" hidden="false" customHeight="false" outlineLevel="0" collapsed="false">
      <c r="A11" s="9" t="s">
        <v>31</v>
      </c>
      <c r="B11" s="10" t="n">
        <v>1640000</v>
      </c>
      <c r="C11" s="11" t="s">
        <v>32</v>
      </c>
    </row>
    <row r="12" customFormat="false" ht="15" hidden="false" customHeight="false" outlineLevel="0" collapsed="false">
      <c r="A12" s="9" t="s">
        <v>33</v>
      </c>
      <c r="B12" s="10" t="n">
        <v>2850000</v>
      </c>
      <c r="C12" s="11" t="s">
        <v>34</v>
      </c>
    </row>
    <row r="13" customFormat="false" ht="15" hidden="false" customHeight="false" outlineLevel="0" collapsed="false">
      <c r="A13" s="9" t="s">
        <v>35</v>
      </c>
      <c r="B13" s="10" t="n">
        <v>1610000</v>
      </c>
      <c r="C13" s="11" t="s">
        <v>36</v>
      </c>
    </row>
    <row r="14" customFormat="false" ht="15" hidden="false" customHeight="false" outlineLevel="0" collapsed="false">
      <c r="A14" s="9" t="s">
        <v>37</v>
      </c>
      <c r="B14" s="10" t="n">
        <v>300000</v>
      </c>
      <c r="C14" s="11" t="s">
        <v>38</v>
      </c>
    </row>
    <row r="15" customFormat="false" ht="15" hidden="false" customHeight="false" outlineLevel="0" collapsed="false">
      <c r="A15" s="9" t="s">
        <v>39</v>
      </c>
      <c r="B15" s="10" t="n">
        <v>48000</v>
      </c>
      <c r="C15" s="11" t="s">
        <v>40</v>
      </c>
    </row>
    <row r="16" customFormat="false" ht="15" hidden="false" customHeight="false" outlineLevel="0" collapsed="false">
      <c r="A16" s="9" t="s">
        <v>41</v>
      </c>
      <c r="B16" s="10" t="n">
        <v>1760000</v>
      </c>
      <c r="C16" s="11" t="s">
        <v>42</v>
      </c>
    </row>
    <row r="17" customFormat="false" ht="15" hidden="false" customHeight="false" outlineLevel="0" collapsed="false">
      <c r="A17" s="9" t="s">
        <v>43</v>
      </c>
      <c r="B17" s="10" t="n">
        <v>3240000</v>
      </c>
      <c r="C17" s="11" t="s">
        <v>44</v>
      </c>
    </row>
    <row r="18" customFormat="false" ht="15" hidden="false" customHeight="false" outlineLevel="0" collapsed="false">
      <c r="A18" s="9" t="s">
        <v>45</v>
      </c>
      <c r="B18" s="10" t="n">
        <v>1480000</v>
      </c>
      <c r="C18" s="11" t="s">
        <v>46</v>
      </c>
    </row>
    <row r="19" customFormat="false" ht="15" hidden="false" customHeight="false" outlineLevel="0" collapsed="false">
      <c r="A19" s="9" t="s">
        <v>47</v>
      </c>
      <c r="B19" s="10" t="n">
        <v>620000</v>
      </c>
      <c r="C19" s="11" t="s">
        <v>48</v>
      </c>
    </row>
    <row r="20" customFormat="false" ht="15" hidden="false" customHeight="false" outlineLevel="0" collapsed="false">
      <c r="A20" s="9" t="s">
        <v>49</v>
      </c>
      <c r="B20" s="10" t="n">
        <v>150000</v>
      </c>
      <c r="C20" s="11" t="s">
        <v>50</v>
      </c>
    </row>
    <row r="21" customFormat="false" ht="15" hidden="false" customHeight="false" outlineLevel="0" collapsed="false">
      <c r="A21" s="9" t="s">
        <v>51</v>
      </c>
      <c r="B21" s="10" t="n">
        <v>90000</v>
      </c>
      <c r="C21" s="11" t="s">
        <v>52</v>
      </c>
    </row>
    <row r="22" customFormat="false" ht="15" hidden="false" customHeight="false" outlineLevel="0" collapsed="false">
      <c r="A22" s="9" t="s">
        <v>53</v>
      </c>
      <c r="B22" s="10" t="n">
        <v>660000</v>
      </c>
      <c r="C22" s="11" t="s">
        <v>54</v>
      </c>
    </row>
    <row r="23" customFormat="false" ht="15" hidden="false" customHeight="false" outlineLevel="0" collapsed="false">
      <c r="A23" s="4" t="s">
        <v>55</v>
      </c>
      <c r="B23" s="8"/>
      <c r="C23" s="8"/>
    </row>
    <row r="25" customFormat="false" ht="15" hidden="false" customHeight="false" outlineLevel="0" collapsed="false">
      <c r="A25" s="9" t="s">
        <v>56</v>
      </c>
      <c r="B25" s="12" t="n">
        <v>0.0155</v>
      </c>
      <c r="C25" s="11" t="s">
        <v>57</v>
      </c>
    </row>
    <row r="26" customFormat="false" ht="15" hidden="false" customHeight="false" outlineLevel="0" collapsed="false">
      <c r="A26" s="9" t="s">
        <v>58</v>
      </c>
      <c r="B26" s="12" t="n">
        <v>0.0425</v>
      </c>
      <c r="C26" s="11" t="s">
        <v>59</v>
      </c>
    </row>
    <row r="27" customFormat="false" ht="15" hidden="false" customHeight="false" outlineLevel="0" collapsed="false">
      <c r="A27" s="9" t="s">
        <v>60</v>
      </c>
      <c r="B27" s="12" t="n">
        <v>0.0155</v>
      </c>
      <c r="C27" s="11" t="s">
        <v>61</v>
      </c>
    </row>
    <row r="28" customFormat="false" ht="15" hidden="false" customHeight="false" outlineLevel="0" collapsed="false">
      <c r="A28" s="9" t="s">
        <v>62</v>
      </c>
      <c r="B28" s="12" t="n">
        <v>0.0172</v>
      </c>
      <c r="C28" s="11" t="s">
        <v>63</v>
      </c>
    </row>
    <row r="29" customFormat="false" ht="15" hidden="false" customHeight="false" outlineLevel="0" collapsed="false">
      <c r="A29" s="9" t="s">
        <v>64</v>
      </c>
      <c r="B29" s="12" t="n">
        <v>0.0194</v>
      </c>
      <c r="C29" s="11" t="s">
        <v>65</v>
      </c>
    </row>
    <row r="30" customFormat="false" ht="15" hidden="false" customHeight="false" outlineLevel="0" collapsed="false">
      <c r="A30" s="9" t="s">
        <v>66</v>
      </c>
      <c r="B30" s="12" t="n">
        <v>0.0435</v>
      </c>
      <c r="C30" s="11" t="s">
        <v>67</v>
      </c>
    </row>
    <row r="31" customFormat="false" ht="15" hidden="false" customHeight="false" outlineLevel="0" collapsed="false">
      <c r="A31" s="9" t="s">
        <v>68</v>
      </c>
      <c r="B31" s="12" t="n">
        <v>0.024</v>
      </c>
      <c r="C31" s="11" t="s">
        <v>69</v>
      </c>
    </row>
    <row r="32" customFormat="false" ht="15" hidden="false" customHeight="false" outlineLevel="0" collapsed="false">
      <c r="A32" s="9" t="s">
        <v>70</v>
      </c>
      <c r="B32" s="12" t="n">
        <v>0.0018</v>
      </c>
      <c r="C32" s="11" t="s">
        <v>71</v>
      </c>
    </row>
    <row r="33" customFormat="false" ht="15" hidden="false" customHeight="false" outlineLevel="0" collapsed="false">
      <c r="A33" s="9" t="s">
        <v>72</v>
      </c>
      <c r="B33" s="12" t="n">
        <v>0.0085</v>
      </c>
      <c r="C33" s="11" t="s">
        <v>73</v>
      </c>
    </row>
    <row r="34" customFormat="false" ht="15" hidden="false" customHeight="false" outlineLevel="0" collapsed="false">
      <c r="A34" s="9" t="s">
        <v>74</v>
      </c>
      <c r="B34" s="12" t="n">
        <v>0.0135</v>
      </c>
      <c r="C34" s="11" t="s">
        <v>75</v>
      </c>
    </row>
    <row r="35" customFormat="false" ht="15" hidden="false" customHeight="false" outlineLevel="0" collapsed="false">
      <c r="A35" s="9" t="s">
        <v>76</v>
      </c>
      <c r="B35" s="12" t="n">
        <v>0.0525</v>
      </c>
      <c r="C35" s="11" t="s">
        <v>77</v>
      </c>
    </row>
    <row r="36" customFormat="false" ht="15" hidden="false" customHeight="false" outlineLevel="0" collapsed="false">
      <c r="A36" s="4" t="s">
        <v>78</v>
      </c>
      <c r="B36" s="8"/>
      <c r="C36" s="8"/>
    </row>
    <row r="38" customFormat="false" ht="15" hidden="false" customHeight="false" outlineLevel="0" collapsed="false">
      <c r="A38" s="9" t="s">
        <v>79</v>
      </c>
      <c r="B38" s="13" t="n">
        <v>4.6</v>
      </c>
      <c r="C38" s="11" t="s">
        <v>80</v>
      </c>
    </row>
    <row r="39" customFormat="false" ht="15" hidden="false" customHeight="false" outlineLevel="0" collapsed="false">
      <c r="A39" s="9" t="s">
        <v>81</v>
      </c>
      <c r="B39" s="13" t="n">
        <v>7.8</v>
      </c>
      <c r="C39" s="11" t="s">
        <v>82</v>
      </c>
    </row>
    <row r="40" customFormat="false" ht="15" hidden="false" customHeight="false" outlineLevel="0" collapsed="false">
      <c r="A40" s="9" t="s">
        <v>83</v>
      </c>
      <c r="B40" s="13" t="n">
        <v>3.9</v>
      </c>
      <c r="C40" s="11" t="s">
        <v>84</v>
      </c>
    </row>
    <row r="41" customFormat="false" ht="15" hidden="false" customHeight="false" outlineLevel="0" collapsed="false">
      <c r="A41" s="9" t="s">
        <v>85</v>
      </c>
      <c r="B41" s="13" t="n">
        <v>24</v>
      </c>
      <c r="C41" s="11" t="s">
        <v>86</v>
      </c>
    </row>
    <row r="42" customFormat="false" ht="15" hidden="false" customHeight="false" outlineLevel="0" collapsed="false">
      <c r="A42" s="9" t="s">
        <v>87</v>
      </c>
      <c r="B42" s="13" t="n">
        <v>71</v>
      </c>
      <c r="C42" s="11" t="s">
        <v>88</v>
      </c>
    </row>
    <row r="43" customFormat="false" ht="15" hidden="false" customHeight="false" outlineLevel="0" collapsed="false">
      <c r="A43" s="9" t="s">
        <v>89</v>
      </c>
      <c r="B43" s="13" t="n">
        <v>18</v>
      </c>
      <c r="C43" s="11" t="s">
        <v>90</v>
      </c>
    </row>
    <row r="44" customFormat="false" ht="15" hidden="false" customHeight="false" outlineLevel="0" collapsed="false">
      <c r="A44" s="9" t="s">
        <v>91</v>
      </c>
      <c r="B44" s="13" t="n">
        <v>0.9</v>
      </c>
      <c r="C44" s="11" t="s">
        <v>92</v>
      </c>
    </row>
    <row r="45" customFormat="false" ht="15" hidden="false" customHeight="false" outlineLevel="0" collapsed="false">
      <c r="A45" s="9" t="s">
        <v>93</v>
      </c>
      <c r="B45" s="13" t="n">
        <v>4.2</v>
      </c>
      <c r="C45" s="11" t="s">
        <v>94</v>
      </c>
    </row>
    <row r="46" customFormat="false" ht="15" hidden="false" customHeight="false" outlineLevel="0" collapsed="false">
      <c r="A46" s="9" t="s">
        <v>95</v>
      </c>
      <c r="B46" s="12" t="n">
        <v>0.35</v>
      </c>
      <c r="C46" s="11" t="s">
        <v>96</v>
      </c>
    </row>
    <row r="47" customFormat="false" ht="15" hidden="false" customHeight="false" outlineLevel="0" collapsed="false">
      <c r="A47" s="9" t="s">
        <v>97</v>
      </c>
      <c r="B47" s="12" t="n">
        <v>0.85</v>
      </c>
      <c r="C47" s="11" t="s">
        <v>98</v>
      </c>
    </row>
    <row r="48" customFormat="false" ht="15" hidden="false" customHeight="false" outlineLevel="0" collapsed="false">
      <c r="A48" s="9" t="s">
        <v>99</v>
      </c>
      <c r="B48" s="12" t="n">
        <v>0.25</v>
      </c>
      <c r="C48" s="11" t="s">
        <v>100</v>
      </c>
    </row>
    <row r="49" customFormat="false" ht="15" hidden="false" customHeight="false" outlineLevel="0" collapsed="false">
      <c r="A49" s="4" t="s">
        <v>101</v>
      </c>
      <c r="B49" s="8"/>
      <c r="C49" s="8"/>
    </row>
    <row r="51" customFormat="false" ht="15" hidden="false" customHeight="false" outlineLevel="0" collapsed="false">
      <c r="A51" s="9" t="s">
        <v>102</v>
      </c>
      <c r="B51" s="10" t="n">
        <v>148000</v>
      </c>
      <c r="C51" s="11" t="s">
        <v>103</v>
      </c>
    </row>
    <row r="52" customFormat="false" ht="15" hidden="false" customHeight="false" outlineLevel="0" collapsed="false">
      <c r="A52" s="9" t="s">
        <v>104</v>
      </c>
      <c r="B52" s="10" t="n">
        <v>41000</v>
      </c>
      <c r="C52" s="11" t="s">
        <v>105</v>
      </c>
    </row>
    <row r="53" customFormat="false" ht="15" hidden="false" customHeight="false" outlineLevel="0" collapsed="false">
      <c r="A53" s="9" t="s">
        <v>106</v>
      </c>
      <c r="B53" s="10" t="n">
        <v>26000</v>
      </c>
      <c r="C53" s="11" t="s">
        <v>107</v>
      </c>
    </row>
    <row r="54" customFormat="false" ht="15" hidden="false" customHeight="false" outlineLevel="0" collapsed="false">
      <c r="A54" s="9" t="s">
        <v>108</v>
      </c>
      <c r="B54" s="10" t="n">
        <v>18000</v>
      </c>
      <c r="C54" s="11" t="s">
        <v>109</v>
      </c>
    </row>
    <row r="55" customFormat="false" ht="15" hidden="false" customHeight="false" outlineLevel="0" collapsed="false">
      <c r="A55" s="9" t="s">
        <v>110</v>
      </c>
      <c r="B55" s="10" t="n">
        <v>5530000</v>
      </c>
      <c r="C55" s="11" t="s">
        <v>111</v>
      </c>
    </row>
    <row r="56" customFormat="false" ht="15" hidden="false" customHeight="false" outlineLevel="0" collapsed="false">
      <c r="A56" s="9" t="s">
        <v>112</v>
      </c>
      <c r="B56" s="10" t="n">
        <v>5610000</v>
      </c>
      <c r="C56" s="11" t="s">
        <v>113</v>
      </c>
    </row>
    <row r="57" customFormat="false" ht="15" hidden="false" customHeight="false" outlineLevel="0" collapsed="false">
      <c r="A57" s="9" t="s">
        <v>114</v>
      </c>
      <c r="B57" s="10" t="n">
        <v>-24000</v>
      </c>
      <c r="C57" s="11" t="s">
        <v>115</v>
      </c>
    </row>
    <row r="58" customFormat="false" ht="15" hidden="false" customHeight="false" outlineLevel="0" collapsed="false">
      <c r="A58" s="4" t="s">
        <v>116</v>
      </c>
      <c r="B58" s="8"/>
      <c r="C58" s="8"/>
    </row>
    <row r="60" customFormat="false" ht="15" hidden="false" customHeight="false" outlineLevel="0" collapsed="false">
      <c r="A60" s="9" t="s">
        <v>117</v>
      </c>
      <c r="B60" s="12" t="n">
        <v>0.46</v>
      </c>
      <c r="C60" s="11" t="s">
        <v>118</v>
      </c>
    </row>
    <row r="61" customFormat="false" ht="15" hidden="false" customHeight="false" outlineLevel="0" collapsed="false">
      <c r="A61" s="9" t="s">
        <v>119</v>
      </c>
      <c r="B61" s="12" t="n">
        <v>0.02</v>
      </c>
      <c r="C61" s="11" t="s">
        <v>120</v>
      </c>
    </row>
    <row r="62" customFormat="false" ht="15" hidden="false" customHeight="false" outlineLevel="0" collapsed="false">
      <c r="A62" s="9" t="s">
        <v>121</v>
      </c>
      <c r="B62" s="12" t="n">
        <v>0.03</v>
      </c>
      <c r="C62" s="11" t="s">
        <v>122</v>
      </c>
    </row>
    <row r="63" customFormat="false" ht="15" hidden="false" customHeight="false" outlineLevel="0" collapsed="false">
      <c r="A63" s="9" t="s">
        <v>123</v>
      </c>
      <c r="B63" s="10" t="n">
        <v>980000</v>
      </c>
      <c r="C63" s="11" t="s">
        <v>124</v>
      </c>
    </row>
    <row r="64" customFormat="false" ht="15" hidden="false" customHeight="false" outlineLevel="0" collapsed="false">
      <c r="A64" s="9" t="s">
        <v>125</v>
      </c>
      <c r="B64" s="12" t="n">
        <v>0.02</v>
      </c>
      <c r="C64" s="11" t="s">
        <v>126</v>
      </c>
    </row>
    <row r="65" customFormat="false" ht="15" hidden="false" customHeight="false" outlineLevel="0" collapsed="false">
      <c r="A65" s="9" t="s">
        <v>127</v>
      </c>
      <c r="B65" s="12" t="n">
        <v>0.25</v>
      </c>
      <c r="C65" s="11" t="s">
        <v>128</v>
      </c>
    </row>
    <row r="66" customFormat="false" ht="15" hidden="false" customHeight="false" outlineLevel="0" collapsed="false">
      <c r="A66" s="9" t="s">
        <v>129</v>
      </c>
      <c r="B66" s="12" t="n">
        <v>0.065</v>
      </c>
      <c r="C66" s="11" t="s">
        <v>130</v>
      </c>
    </row>
    <row r="67" customFormat="false" ht="15" hidden="false" customHeight="false" outlineLevel="0" collapsed="false">
      <c r="A67" s="4" t="s">
        <v>131</v>
      </c>
      <c r="B67" s="8"/>
      <c r="C67" s="8"/>
    </row>
    <row r="69" customFormat="false" ht="15" hidden="false" customHeight="false" outlineLevel="0" collapsed="false">
      <c r="A69" s="9" t="s">
        <v>132</v>
      </c>
      <c r="B69" s="12" t="n">
        <v>0.0025</v>
      </c>
      <c r="C69" s="11" t="s">
        <v>133</v>
      </c>
    </row>
    <row r="70" customFormat="false" ht="15" hidden="false" customHeight="false" outlineLevel="0" collapsed="false">
      <c r="A70" s="9" t="s">
        <v>134</v>
      </c>
      <c r="B70" s="13" t="n">
        <v>5</v>
      </c>
      <c r="C70" s="11" t="s">
        <v>135</v>
      </c>
    </row>
    <row r="71" customFormat="false" ht="15" hidden="false" customHeight="false" outlineLevel="0" collapsed="false">
      <c r="A71" s="9" t="s">
        <v>136</v>
      </c>
      <c r="B71" s="13" t="n">
        <v>0.25</v>
      </c>
      <c r="C71" s="11" t="s">
        <v>137</v>
      </c>
    </row>
    <row r="72" customFormat="false" ht="15" hidden="false" customHeight="false" outlineLevel="0" collapsed="false">
      <c r="A72" s="9" t="s">
        <v>138</v>
      </c>
      <c r="B72" s="13" t="n">
        <v>5</v>
      </c>
      <c r="C72" s="11" t="s">
        <v>139</v>
      </c>
    </row>
    <row r="73" customFormat="false" ht="15" hidden="false" customHeight="false" outlineLevel="0" collapsed="false">
      <c r="A73" s="9" t="s">
        <v>140</v>
      </c>
      <c r="B73" s="12" t="n">
        <v>0.8</v>
      </c>
      <c r="C73" s="11" t="s">
        <v>141</v>
      </c>
    </row>
    <row r="74" customFormat="false" ht="15" hidden="false" customHeight="false" outlineLevel="0" collapsed="false">
      <c r="A74" s="4" t="s">
        <v>142</v>
      </c>
      <c r="B74" s="8"/>
      <c r="C74" s="8"/>
    </row>
    <row r="76" customFormat="false" ht="15" hidden="false" customHeight="false" outlineLevel="0" collapsed="false">
      <c r="A76" s="9" t="s">
        <v>143</v>
      </c>
      <c r="B76" s="12" t="n">
        <v>0.42</v>
      </c>
      <c r="C76" s="11" t="s">
        <v>144</v>
      </c>
    </row>
    <row r="77" customFormat="false" ht="15" hidden="false" customHeight="false" outlineLevel="0" collapsed="false">
      <c r="A77" s="9" t="s">
        <v>145</v>
      </c>
      <c r="B77" s="12" t="n">
        <v>0.045</v>
      </c>
      <c r="C77" s="11" t="s">
        <v>146</v>
      </c>
    </row>
    <row r="78" customFormat="false" ht="15" hidden="false" customHeight="false" outlineLevel="0" collapsed="false">
      <c r="A78" s="9" t="s">
        <v>147</v>
      </c>
      <c r="B78" s="12" t="n">
        <v>0.35</v>
      </c>
      <c r="C78" s="11" t="s">
        <v>148</v>
      </c>
    </row>
    <row r="79" customFormat="false" ht="15" hidden="false" customHeight="false" outlineLevel="0" collapsed="false">
      <c r="A79" s="9" t="s">
        <v>149</v>
      </c>
      <c r="B79" s="13" t="n">
        <v>0.5</v>
      </c>
      <c r="C79" s="11" t="s">
        <v>150</v>
      </c>
    </row>
    <row r="80" customFormat="false" ht="15" hidden="false" customHeight="false" outlineLevel="0" collapsed="false">
      <c r="A80" s="9" t="s">
        <v>151</v>
      </c>
      <c r="B80" s="12" t="n">
        <v>0.62</v>
      </c>
      <c r="C80" s="11" t="s">
        <v>152</v>
      </c>
    </row>
    <row r="81" customFormat="false" ht="15" hidden="false" customHeight="false" outlineLevel="0" collapsed="false">
      <c r="A81" s="4" t="s">
        <v>153</v>
      </c>
      <c r="B81" s="8"/>
      <c r="C81" s="8"/>
    </row>
    <row r="83" customFormat="false" ht="15" hidden="false" customHeight="false" outlineLevel="0" collapsed="false">
      <c r="A83" s="9" t="s">
        <v>154</v>
      </c>
      <c r="B83" s="13" t="n">
        <v>10</v>
      </c>
      <c r="C83" s="11" t="s">
        <v>155</v>
      </c>
    </row>
    <row r="85" customFormat="false" ht="15" hidden="false" customHeight="false" outlineLevel="0" collapsed="false">
      <c r="A85" s="4" t="s">
        <v>156</v>
      </c>
      <c r="B85" s="8"/>
      <c r="C85" s="8"/>
    </row>
    <row r="87" customFormat="false" ht="15" hidden="false" customHeight="false" outlineLevel="0" collapsed="false">
      <c r="A87" s="14" t="s">
        <v>157</v>
      </c>
      <c r="B87" s="15" t="n">
        <f aca="false">CASH+AFS+HTM+LOANS_FIX+LOANS_FLT+OTHER_ASSETS</f>
        <v>8000000</v>
      </c>
    </row>
    <row r="88" customFormat="false" ht="15" hidden="false" customHeight="false" outlineLevel="0" collapsed="false">
      <c r="A88" s="14" t="s">
        <v>158</v>
      </c>
      <c r="B88" s="15" t="n">
        <f aca="false">DEP_NIB+DEP_SAV+DEP_TIME+FHLB+SUBDEBT+OTHER_LIAB+EQUITY</f>
        <v>8000000</v>
      </c>
    </row>
    <row r="89" customFormat="false" ht="15" hidden="false" customHeight="false" outlineLevel="0" collapsed="false">
      <c r="A89" s="14" t="s">
        <v>159</v>
      </c>
      <c r="B89" s="15" t="n">
        <f aca="false">TOT_ASSETS-TOT_LIAB</f>
        <v>0</v>
      </c>
    </row>
    <row r="90" customFormat="false" ht="15" hidden="false" customHeight="false" outlineLevel="0" collapsed="false">
      <c r="A90" s="7" t="s">
        <v>160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161</v>
      </c>
    </row>
    <row r="2" customFormat="false" ht="15" hidden="false" customHeight="false" outlineLevel="0" collapsed="false">
      <c r="A2" s="2" t="s">
        <v>162</v>
      </c>
    </row>
    <row r="3" customFormat="false" ht="15" hidden="false" customHeight="false" outlineLevel="0" collapsed="false">
      <c r="A3" s="3"/>
      <c r="B3" s="3"/>
    </row>
    <row r="6" customFormat="false" ht="15" hidden="false" customHeight="false" outlineLevel="0" collapsed="false">
      <c r="A6" s="4" t="s">
        <v>163</v>
      </c>
      <c r="B6" s="8"/>
      <c r="C6" s="8"/>
    </row>
    <row r="8" customFormat="false" ht="15" hidden="false" customHeight="false" outlineLevel="0" collapsed="false">
      <c r="A8" s="9" t="s">
        <v>164</v>
      </c>
      <c r="B8" s="16" t="n">
        <f aca="false">MKT0+SPREAD_FLT</f>
        <v>0.0395</v>
      </c>
    </row>
    <row r="9" customFormat="false" ht="15" hidden="false" customHeight="false" outlineLevel="0" collapsed="false">
      <c r="A9" s="9" t="s">
        <v>165</v>
      </c>
      <c r="B9" s="17" t="n">
        <f aca="false">CASH*Y_CASH+AFS*Y_AFS+HTM*Y_HTM+LOANS_FIX*Y_FIX+LOANS_FLT*Y_FLT0</f>
        <v>246192</v>
      </c>
    </row>
    <row r="10" customFormat="false" ht="15" hidden="false" customHeight="false" outlineLevel="0" collapsed="false">
      <c r="A10" s="9" t="s">
        <v>166</v>
      </c>
      <c r="B10" s="17" t="n">
        <f aca="false">DEP_SAV*C_SAV+DEP_TIME*C_TIME+FHLB*C_FHLB+SUBDEBT*C_SUB</f>
        <v>34657</v>
      </c>
    </row>
    <row r="11" customFormat="false" ht="15" hidden="false" customHeight="false" outlineLevel="0" collapsed="false">
      <c r="A11" s="14" t="s">
        <v>167</v>
      </c>
      <c r="B11" s="15" t="n">
        <f aca="false">INC0-EXP0</f>
        <v>211535</v>
      </c>
    </row>
    <row r="12" customFormat="false" ht="15" hidden="false" customHeight="false" outlineLevel="0" collapsed="false">
      <c r="A12" s="9" t="s">
        <v>168</v>
      </c>
      <c r="B12" s="17" t="n">
        <f aca="false">CASH+AFS+HTM+LOANS_FIX+LOANS_FLT</f>
        <v>7700000</v>
      </c>
    </row>
    <row r="13" customFormat="false" ht="15" hidden="false" customHeight="false" outlineLevel="0" collapsed="false">
      <c r="A13" s="9" t="s">
        <v>169</v>
      </c>
      <c r="B13" s="16" t="n">
        <f aca="false">NII0/EARNING</f>
        <v>0.0274720779220779</v>
      </c>
    </row>
    <row r="14" customFormat="false" ht="15" hidden="false" customHeight="false" outlineLevel="0" collapsed="false">
      <c r="A14" s="4" t="s">
        <v>170</v>
      </c>
      <c r="B14" s="8"/>
      <c r="C14" s="8"/>
    </row>
    <row r="16" customFormat="false" ht="15" hidden="false" customHeight="false" outlineLevel="0" collapsed="false">
      <c r="A16" s="9" t="s">
        <v>171</v>
      </c>
      <c r="B16" s="16" t="n">
        <f aca="false">MKT0+SHOCK+SPREAD_FLT</f>
        <v>0.082</v>
      </c>
    </row>
    <row r="17" customFormat="false" ht="15" hidden="false" customHeight="false" outlineLevel="0" collapsed="false">
      <c r="A17" s="9" t="s">
        <v>172</v>
      </c>
      <c r="B17" s="16" t="n">
        <f aca="false">C_SAV+BETA_SAV*SHOCK</f>
        <v>0.016675</v>
      </c>
    </row>
    <row r="18" customFormat="false" ht="15" hidden="false" customHeight="false" outlineLevel="0" collapsed="false">
      <c r="A18" s="9" t="s">
        <v>173</v>
      </c>
      <c r="B18" s="16" t="n">
        <f aca="false">C_TIME+BETA_TIME*SHOCK</f>
        <v>0.044625</v>
      </c>
    </row>
    <row r="19" customFormat="false" ht="15" hidden="false" customHeight="false" outlineLevel="0" collapsed="false">
      <c r="A19" s="9" t="s">
        <v>174</v>
      </c>
      <c r="B19" s="16" t="n">
        <f aca="false">C_FHLB+SHOCK</f>
        <v>0.056</v>
      </c>
    </row>
    <row r="20" customFormat="false" ht="15" hidden="false" customHeight="false" outlineLevel="0" collapsed="false">
      <c r="A20" s="9" t="s">
        <v>175</v>
      </c>
      <c r="B20" s="17" t="n">
        <f aca="false">CASH*(Y_CASH+SHOCK)+AFS*Y_AFS+HTM*Y_HTM+LOANS_FIX*Y_FIX+LOANS_FLT*Y_FLT1</f>
        <v>332467</v>
      </c>
    </row>
    <row r="21" customFormat="false" ht="15" hidden="false" customHeight="false" outlineLevel="0" collapsed="false">
      <c r="A21" s="9" t="s">
        <v>176</v>
      </c>
      <c r="B21" s="17" t="n">
        <f aca="false">DEP_SAV*C_SAV1+DEP_TIME*C_TIME1+FHLB*C_FHLB1+SUBDEBT*C_SUB</f>
        <v>162667</v>
      </c>
    </row>
    <row r="22" customFormat="false" ht="15" hidden="false" customHeight="false" outlineLevel="0" collapsed="false">
      <c r="A22" s="14" t="s">
        <v>177</v>
      </c>
      <c r="B22" s="15" t="n">
        <f aca="false">INC1-EXP1</f>
        <v>169800</v>
      </c>
    </row>
    <row r="23" customFormat="false" ht="15" hidden="false" customHeight="false" outlineLevel="0" collapsed="false">
      <c r="A23" s="9" t="s">
        <v>178</v>
      </c>
      <c r="B23" s="16" t="n">
        <f aca="false">NII1/EARNING</f>
        <v>0.0220519480519481</v>
      </c>
    </row>
    <row r="24" customFormat="false" ht="15" hidden="false" customHeight="false" outlineLevel="0" collapsed="false">
      <c r="A24" s="4" t="s">
        <v>179</v>
      </c>
      <c r="B24" s="8"/>
      <c r="C24" s="8"/>
    </row>
    <row r="26" customFormat="false" ht="15" hidden="false" customHeight="false" outlineLevel="0" collapsed="false">
      <c r="A26" s="9" t="s">
        <v>180</v>
      </c>
      <c r="B26" s="17" t="n">
        <f aca="false">NII1+FEES-OPEX-PROVISION</f>
        <v>36800</v>
      </c>
    </row>
    <row r="27" customFormat="false" ht="15" hidden="false" customHeight="false" outlineLevel="0" collapsed="false">
      <c r="A27" s="14" t="s">
        <v>181</v>
      </c>
      <c r="B27" s="15" t="n">
        <f aca="false">PBT*(1-TAX)</f>
        <v>27600</v>
      </c>
    </row>
    <row r="28" customFormat="false" ht="15" hidden="false" customHeight="false" outlineLevel="0" collapsed="false">
      <c r="A28" s="9" t="s">
        <v>182</v>
      </c>
      <c r="B28" s="17" t="n">
        <f aca="false">NET_INCOME-DIVIDEND</f>
        <v>9600</v>
      </c>
    </row>
    <row r="30" customFormat="false" ht="15" hidden="false" customHeight="false" outlineLevel="0" collapsed="false">
      <c r="A30" s="4" t="s">
        <v>183</v>
      </c>
    </row>
    <row r="32" customFormat="false" ht="15" hidden="false" customHeight="false" outlineLevel="0" collapsed="false">
      <c r="A32" s="9" t="s">
        <v>184</v>
      </c>
      <c r="B32" s="17" t="n">
        <f aca="false">INC1-INC0</f>
        <v>86275</v>
      </c>
    </row>
    <row r="33" customFormat="false" ht="15" hidden="false" customHeight="false" outlineLevel="0" collapsed="false">
      <c r="A33" s="9" t="s">
        <v>185</v>
      </c>
      <c r="B33" s="17" t="n">
        <f aca="false">EXP1-EXP0</f>
        <v>128010</v>
      </c>
    </row>
    <row r="34" customFormat="false" ht="15" hidden="false" customHeight="false" outlineLevel="0" collapsed="false">
      <c r="A34" s="14" t="s">
        <v>186</v>
      </c>
      <c r="B34" s="15" t="n">
        <f aca="false">B32-B33</f>
        <v>-41735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187</v>
      </c>
    </row>
    <row r="2" customFormat="false" ht="15" hidden="false" customHeight="false" outlineLevel="0" collapsed="false">
      <c r="A2" s="2" t="s">
        <v>188</v>
      </c>
    </row>
    <row r="3" customFormat="false" ht="15" hidden="false" customHeight="false" outlineLevel="0" collapsed="false">
      <c r="A3" s="3"/>
      <c r="B3" s="3"/>
    </row>
    <row r="6" customFormat="false" ht="15" hidden="false" customHeight="false" outlineLevel="0" collapsed="false">
      <c r="A6" s="4" t="s">
        <v>189</v>
      </c>
      <c r="B6" s="8"/>
      <c r="C6" s="8"/>
    </row>
    <row r="8" customFormat="false" ht="15" hidden="false" customHeight="false" outlineLevel="0" collapsed="false">
      <c r="A8" s="9" t="s">
        <v>190</v>
      </c>
      <c r="B8" s="17" t="n">
        <f aca="false">CASH+LOANS_FLT</f>
        <v>2030000</v>
      </c>
    </row>
    <row r="9" customFormat="false" ht="15" hidden="false" customHeight="false" outlineLevel="0" collapsed="false">
      <c r="A9" s="9" t="s">
        <v>191</v>
      </c>
      <c r="B9" s="17" t="n">
        <f aca="false">FHLB+DEP_TIME*BETA_TIME+DEP_SAV*BETA_SAV</f>
        <v>3012000</v>
      </c>
    </row>
    <row r="10" customFormat="false" ht="15" hidden="false" customHeight="false" outlineLevel="0" collapsed="false">
      <c r="A10" s="14" t="s">
        <v>192</v>
      </c>
      <c r="B10" s="15" t="n">
        <f aca="false">ASSETS_REPRICE-LIAB_REPRICE</f>
        <v>-982000</v>
      </c>
    </row>
    <row r="11" customFormat="false" ht="15" hidden="false" customHeight="false" outlineLevel="0" collapsed="false">
      <c r="A11" s="9" t="s">
        <v>193</v>
      </c>
      <c r="B11" s="17" t="n">
        <f aca="false">WGAP*SHOCK</f>
        <v>-41735</v>
      </c>
    </row>
    <row r="12" customFormat="false" ht="15" hidden="false" customHeight="false" outlineLevel="0" collapsed="false">
      <c r="A12" s="9" t="s">
        <v>194</v>
      </c>
      <c r="B12" s="17" t="n">
        <f aca="false">NII1-NII0</f>
        <v>-41735</v>
      </c>
    </row>
    <row r="13" customFormat="false" ht="15" hidden="false" customHeight="false" outlineLevel="0" collapsed="false">
      <c r="A13" s="4" t="s">
        <v>195</v>
      </c>
      <c r="B13" s="8"/>
      <c r="C13" s="8"/>
    </row>
    <row r="15" customFormat="false" ht="15" hidden="false" customHeight="false" outlineLevel="0" collapsed="false">
      <c r="A15" s="9" t="s">
        <v>196</v>
      </c>
      <c r="B15" s="16" t="n">
        <f aca="false">BETA_SAV</f>
        <v>0.35</v>
      </c>
    </row>
    <row r="16" customFormat="false" ht="15" hidden="false" customHeight="false" outlineLevel="0" collapsed="false">
      <c r="A16" s="14" t="s">
        <v>197</v>
      </c>
      <c r="B16" s="18" t="n">
        <f aca="false">(DEP_NIB+DEP_SAV)*BETA_SAV/DEP_SAV</f>
        <v>0.540123456790123</v>
      </c>
    </row>
    <row r="17" customFormat="false" ht="15" hidden="false" customHeight="false" outlineLevel="0" collapsed="false">
      <c r="A17" s="9" t="s">
        <v>198</v>
      </c>
      <c r="B17" s="19" t="n">
        <f aca="false">BETA_SAV_ONLY/BETA_SAV</f>
        <v>1.54320987654321</v>
      </c>
    </row>
    <row r="18" customFormat="false" ht="15" hidden="false" customHeight="false" outlineLevel="0" collapsed="false">
      <c r="A18" s="4" t="s">
        <v>199</v>
      </c>
      <c r="B18" s="8"/>
      <c r="C18" s="8"/>
    </row>
    <row r="20" customFormat="false" ht="15" hidden="false" customHeight="false" outlineLevel="0" collapsed="false">
      <c r="A20" s="14" t="s">
        <v>200</v>
      </c>
      <c r="B20" s="18" t="n">
        <f aca="false">BETA_SAV+PBT/(DEP_SAV*SHOCK)</f>
        <v>0.617247639796659</v>
      </c>
    </row>
    <row r="21" customFormat="false" ht="15" hidden="false" customHeight="false" outlineLevel="0" collapsed="false">
      <c r="A21" s="9" t="s">
        <v>201</v>
      </c>
      <c r="B21" s="17" t="n">
        <f aca="false">DEP_SAV*(BETA_TEST-BETA_SAV)*SHOCK</f>
        <v>37179</v>
      </c>
    </row>
    <row r="22" customFormat="false" ht="15" hidden="false" customHeight="false" outlineLevel="0" collapsed="false">
      <c r="A22" s="14" t="s">
        <v>202</v>
      </c>
      <c r="B22" s="15" t="n">
        <f aca="false">PBT-COST_BETA_TEST</f>
        <v>-379</v>
      </c>
    </row>
    <row r="24" customFormat="false" ht="15" hidden="false" customHeight="false" outlineLevel="0" collapsed="false">
      <c r="A24" s="4" t="s">
        <v>203</v>
      </c>
    </row>
    <row r="26" customFormat="false" ht="15" hidden="false" customHeight="false" outlineLevel="0" collapsed="false">
      <c r="A26" s="9" t="s">
        <v>204</v>
      </c>
      <c r="B26" s="17" t="n">
        <f aca="false">DEP_SAV*BETA_SAV*SHOCK</f>
        <v>48195</v>
      </c>
    </row>
    <row r="27" customFormat="false" ht="15" hidden="false" customHeight="false" outlineLevel="0" collapsed="false">
      <c r="A27" s="14" t="s">
        <v>205</v>
      </c>
      <c r="B27" s="18" t="n">
        <f aca="false">B26/((DEP_NIB+DEP_SAV)*SHOCK)</f>
        <v>0.2268</v>
      </c>
    </row>
    <row r="28" customFormat="false" ht="15" hidden="false" customHeight="false" outlineLevel="0" collapsed="false">
      <c r="A28" s="9" t="s">
        <v>206</v>
      </c>
      <c r="B28" s="16" t="n">
        <f aca="false">BETA_SAV_ONLY</f>
        <v>0.540123456790123</v>
      </c>
    </row>
    <row r="29" customFormat="false" ht="15" hidden="false" customHeight="false" outlineLevel="0" collapsed="false">
      <c r="A29" s="9" t="s">
        <v>207</v>
      </c>
      <c r="B29" s="17" t="n">
        <f aca="false">DEP_SAV*(BETA_SAV_ONLY-BETA_SAV)*SHOCK</f>
        <v>26180</v>
      </c>
    </row>
    <row r="30" customFormat="false" ht="15" hidden="false" customHeight="false" outlineLevel="0" collapsed="false">
      <c r="A30" s="14" t="s">
        <v>208</v>
      </c>
      <c r="B30" s="15" t="n">
        <f aca="false">PBT-B29</f>
        <v>10620</v>
      </c>
    </row>
    <row r="31" customFormat="false" ht="15" hidden="false" customHeight="false" outlineLevel="0" collapsed="false">
      <c r="A31" s="14" t="s">
        <v>209</v>
      </c>
      <c r="B31" s="18" t="n">
        <f aca="false">BETA_BREAKEVEN*DEP_SAV/(DEP_NIB+DEP_SAV)</f>
        <v>0.399976470588235</v>
      </c>
    </row>
    <row r="32" customFormat="false" ht="15" hidden="false" customHeight="false" outlineLevel="0" collapsed="false">
      <c r="A32" s="9" t="s">
        <v>210</v>
      </c>
      <c r="B32" s="16" t="n">
        <f aca="false">BETA_BREAKEVEN-BETA_SAV_ONLY</f>
        <v>0.0771241830065359</v>
      </c>
    </row>
    <row r="34" customFormat="false" ht="15" hidden="false" customHeight="false" outlineLevel="0" collapsed="false">
      <c r="A34" s="2" t="s">
        <v>211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212</v>
      </c>
    </row>
    <row r="2" customFormat="false" ht="15" hidden="false" customHeight="false" outlineLevel="0" collapsed="false">
      <c r="A2" s="2" t="s">
        <v>213</v>
      </c>
    </row>
    <row r="3" customFormat="false" ht="15" hidden="false" customHeight="false" outlineLevel="0" collapsed="false">
      <c r="A3" s="3"/>
      <c r="B3" s="3"/>
    </row>
    <row r="6" customFormat="false" ht="15" hidden="false" customHeight="false" outlineLevel="0" collapsed="false">
      <c r="A6" s="4" t="s">
        <v>212</v>
      </c>
      <c r="B6" s="8"/>
      <c r="C6" s="8"/>
    </row>
    <row r="8" customFormat="false" ht="15" hidden="false" customHeight="false" outlineLevel="0" collapsed="false">
      <c r="A8" s="9" t="s">
        <v>214</v>
      </c>
      <c r="B8" s="17" t="n">
        <f aca="false">LOANS_FLT*SHOCK</f>
        <v>68425</v>
      </c>
    </row>
    <row r="9" customFormat="false" ht="15" hidden="false" customHeight="false" outlineLevel="0" collapsed="false">
      <c r="A9" s="9" t="s">
        <v>215</v>
      </c>
      <c r="B9" s="17" t="n">
        <f aca="false">LOANS_FLT*FLOOR_SHARE</f>
        <v>676200</v>
      </c>
    </row>
    <row r="10" customFormat="false" ht="15" hidden="false" customHeight="false" outlineLevel="0" collapsed="false">
      <c r="A10" s="9" t="s">
        <v>216</v>
      </c>
      <c r="B10" s="16" t="n">
        <f aca="false">MAX(Y_FLT0,FLOOR_LVL)</f>
        <v>0.045</v>
      </c>
    </row>
    <row r="11" customFormat="false" ht="15" hidden="false" customHeight="false" outlineLevel="0" collapsed="false">
      <c r="A11" s="9" t="s">
        <v>217</v>
      </c>
      <c r="B11" s="16" t="n">
        <f aca="false">MAX(Y_FLT1,FLOOR_LVL)</f>
        <v>0.082</v>
      </c>
    </row>
    <row r="12" customFormat="false" ht="15" hidden="false" customHeight="false" outlineLevel="0" collapsed="false">
      <c r="A12" s="9" t="s">
        <v>218</v>
      </c>
      <c r="B12" s="17" t="n">
        <f aca="false">FLT_FLOORED*(FLT_RATE1-FLT_RATE0)</f>
        <v>25019.4</v>
      </c>
    </row>
    <row r="13" customFormat="false" ht="15" hidden="false" customHeight="false" outlineLevel="0" collapsed="false">
      <c r="A13" s="9" t="s">
        <v>219</v>
      </c>
      <c r="B13" s="17" t="n">
        <f aca="false">(LOANS_FLT-FLT_FLOORED)*SHOCK</f>
        <v>39686.5</v>
      </c>
    </row>
    <row r="14" customFormat="false" ht="15" hidden="false" customHeight="false" outlineLevel="0" collapsed="false">
      <c r="A14" s="9" t="s">
        <v>220</v>
      </c>
      <c r="B14" s="17" t="n">
        <f aca="false">FLT_GAIN_FLOOR+FLT_GAIN_FREE</f>
        <v>64705.9</v>
      </c>
    </row>
    <row r="15" customFormat="false" ht="15" hidden="false" customHeight="false" outlineLevel="0" collapsed="false">
      <c r="A15" s="9" t="s">
        <v>221</v>
      </c>
      <c r="B15" s="17" t="n">
        <f aca="false">FLT_BEFORE_LAG*RESET_SHARE*RESET_LAG</f>
        <v>11323.5325</v>
      </c>
    </row>
    <row r="16" customFormat="false" ht="15" hidden="false" customHeight="false" outlineLevel="0" collapsed="false">
      <c r="A16" s="14" t="s">
        <v>222</v>
      </c>
      <c r="B16" s="15" t="n">
        <f aca="false">FLT_BEFORE_LAG-FLT_LAG</f>
        <v>53382.3675</v>
      </c>
    </row>
    <row r="17" customFormat="false" ht="15" hidden="false" customHeight="false" outlineLevel="0" collapsed="false">
      <c r="A17" s="14" t="s">
        <v>223</v>
      </c>
      <c r="B17" s="18" t="n">
        <f aca="false">FLT_REAL/FLT_ASSUMED</f>
        <v>0.780158823529412</v>
      </c>
    </row>
    <row r="18" customFormat="false" ht="15" hidden="false" customHeight="false" outlineLevel="0" collapsed="false">
      <c r="A18" s="9" t="s">
        <v>224</v>
      </c>
      <c r="B18" s="17" t="n">
        <f aca="false">FLT_ASSUMED-FLT_REAL</f>
        <v>15042.6325</v>
      </c>
    </row>
    <row r="19" customFormat="false" ht="15" hidden="false" customHeight="false" outlineLevel="0" collapsed="false">
      <c r="A19" s="9" t="s">
        <v>225</v>
      </c>
      <c r="B19" s="17" t="n">
        <f aca="false">FLT_SHORTFALL/SHOCK</f>
        <v>353944.294117647</v>
      </c>
    </row>
    <row r="20" customFormat="false" ht="15" hidden="false" customHeight="false" outlineLevel="0" collapsed="false">
      <c r="A20" s="9" t="s">
        <v>226</v>
      </c>
      <c r="B20" s="17" t="n">
        <f aca="false">WGAP-FLT_BALANCE</f>
        <v>-1335944.29411765</v>
      </c>
    </row>
    <row r="21" customFormat="false" ht="15" hidden="false" customHeight="false" outlineLevel="0" collapsed="false">
      <c r="A21" s="9" t="s">
        <v>227</v>
      </c>
      <c r="B21" s="17" t="n">
        <f aca="false">PBT-FLT_LAG</f>
        <v>25476.4675</v>
      </c>
    </row>
    <row r="22" customFormat="false" ht="15" hidden="false" customHeight="false" outlineLevel="0" collapsed="false">
      <c r="A22" s="9" t="s">
        <v>228</v>
      </c>
      <c r="B22" s="20" t="n">
        <f aca="false">FLT_FLOORED*(FLT_RATE0-Y_FLT0)</f>
        <v>3719.1</v>
      </c>
    </row>
    <row r="23" customFormat="false" ht="15" hidden="false" customHeight="false" outlineLevel="0" collapsed="false">
      <c r="A23" s="9" t="s">
        <v>229</v>
      </c>
      <c r="B23" s="20" t="n">
        <f aca="false">NII0+B22</f>
        <v>215254.1</v>
      </c>
    </row>
    <row r="24" customFormat="false" ht="15" hidden="false" customHeight="false" outlineLevel="0" collapsed="false">
      <c r="A24" s="9" t="s">
        <v>230</v>
      </c>
      <c r="B24" s="20" t="n">
        <f aca="false">B22+FLT_LAG</f>
        <v>15042.6325</v>
      </c>
    </row>
    <row r="25" customFormat="false" ht="15" hidden="false" customHeight="false" outlineLevel="0" collapsed="false">
      <c r="A25" s="9" t="s">
        <v>231</v>
      </c>
      <c r="B25" s="20" t="n">
        <f aca="false">FLT_LAG*(1-TAX)</f>
        <v>8492.649375</v>
      </c>
    </row>
    <row r="26" customFormat="false" ht="15" hidden="false" customHeight="false" outlineLevel="0" collapsed="false">
      <c r="A26" s="9" t="s">
        <v>232</v>
      </c>
      <c r="B26" s="16" t="n">
        <f aca="false">B25/NET_INCOME</f>
        <v>0.3077046875</v>
      </c>
    </row>
    <row r="27" customFormat="false" ht="15" hidden="false" customHeight="false" outlineLevel="0" collapsed="false">
      <c r="A27" s="9" t="s">
        <v>233</v>
      </c>
      <c r="B27" s="16" t="n">
        <f aca="false">FLT_SHORTFALL/NET_INCOME</f>
        <v>0.545022916666666</v>
      </c>
    </row>
    <row r="29" customFormat="false" ht="15" hidden="false" customHeight="false" outlineLevel="0" collapsed="false">
      <c r="A29" s="2" t="s">
        <v>234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235</v>
      </c>
    </row>
    <row r="2" customFormat="false" ht="15" hidden="false" customHeight="false" outlineLevel="0" collapsed="false">
      <c r="A2" s="2" t="s">
        <v>236</v>
      </c>
    </row>
    <row r="3" customFormat="false" ht="15" hidden="false" customHeight="false" outlineLevel="0" collapsed="false">
      <c r="A3" s="3"/>
      <c r="B3" s="3"/>
    </row>
    <row r="6" customFormat="false" ht="15" hidden="false" customHeight="false" outlineLevel="0" collapsed="false">
      <c r="A6" s="4" t="s">
        <v>237</v>
      </c>
      <c r="B6" s="8"/>
      <c r="C6" s="8"/>
    </row>
    <row r="8" customFormat="false" ht="15" hidden="false" customHeight="false" outlineLevel="0" collapsed="false">
      <c r="A8" s="9" t="s">
        <v>238</v>
      </c>
      <c r="B8" s="16" t="n">
        <f aca="false">MKT0</f>
        <v>0.0155</v>
      </c>
    </row>
    <row r="9" customFormat="false" ht="15" hidden="false" customHeight="false" outlineLevel="0" collapsed="false">
      <c r="A9" s="4" t="s">
        <v>239</v>
      </c>
      <c r="B9" s="8"/>
      <c r="C9" s="8"/>
    </row>
    <row r="11" customFormat="false" ht="15" hidden="false" customHeight="false" outlineLevel="0" collapsed="false">
      <c r="A11" s="9" t="s">
        <v>240</v>
      </c>
      <c r="B11" s="17" t="n">
        <f aca="false">CASH*(Y_CASH-(MKT0+FTP_SLOPE*MIN(0,FTP_MAXDUR)))</f>
        <v>0</v>
      </c>
    </row>
    <row r="12" customFormat="false" ht="15" hidden="false" customHeight="false" outlineLevel="0" collapsed="false">
      <c r="A12" s="9" t="s">
        <v>241</v>
      </c>
      <c r="B12" s="17" t="n">
        <f aca="false">AFS*(Y_AFS-(MKT0+FTP_SLOPE*MIN(DUR_AFS,FTP_MAXDUR)))</f>
        <v>-11564</v>
      </c>
    </row>
    <row r="13" customFormat="false" ht="15" hidden="false" customHeight="false" outlineLevel="0" collapsed="false">
      <c r="A13" s="9" t="s">
        <v>242</v>
      </c>
      <c r="B13" s="17" t="n">
        <f aca="false">HTM*(Y_HTM-(MKT0+FTP_SLOPE*MIN(DUR_HTM,FTP_MAXDUR)))</f>
        <v>-14104</v>
      </c>
    </row>
    <row r="14" customFormat="false" ht="15" hidden="false" customHeight="false" outlineLevel="0" collapsed="false">
      <c r="A14" s="9" t="s">
        <v>243</v>
      </c>
      <c r="B14" s="17" t="n">
        <f aca="false">LOANS_FIX*(Y_FIX-(MKT0+FTP_SLOPE*MIN(DUR_FIX,FTP_MAXDUR)))</f>
        <v>52012.5</v>
      </c>
    </row>
    <row r="15" customFormat="false" ht="15" hidden="false" customHeight="false" outlineLevel="0" collapsed="false">
      <c r="A15" s="9" t="s">
        <v>244</v>
      </c>
      <c r="B15" s="17" t="n">
        <f aca="false">LOANS_FLT*(Y_FLT0-MKT0)</f>
        <v>38640</v>
      </c>
    </row>
    <row r="16" customFormat="false" ht="15" hidden="false" customHeight="false" outlineLevel="0" collapsed="false">
      <c r="A16" s="14" t="s">
        <v>245</v>
      </c>
      <c r="B16" s="15" t="n">
        <f aca="false">M_CASH+M_AFS+M_HTM+M_FIX+M_FLT</f>
        <v>64984.5</v>
      </c>
    </row>
    <row r="17" customFormat="false" ht="15" hidden="false" customHeight="false" outlineLevel="0" collapsed="false">
      <c r="A17" s="9" t="s">
        <v>246</v>
      </c>
      <c r="B17" s="17" t="n">
        <f aca="false">DEP_NIB*((MKT0+FTP_SLOPE*MIN(DEP_LIFE,FTP_MAXDUR))-0)</f>
        <v>45760</v>
      </c>
    </row>
    <row r="18" customFormat="false" ht="15" hidden="false" customHeight="false" outlineLevel="0" collapsed="false">
      <c r="A18" s="9" t="s">
        <v>247</v>
      </c>
      <c r="B18" s="17" t="n">
        <f aca="false">DEP_SAV*((MKT0+FTP_SLOPE*MIN(DEP_LIFE,FTP_MAXDUR))-C_SAV)</f>
        <v>78408</v>
      </c>
    </row>
    <row r="19" customFormat="false" ht="15" hidden="false" customHeight="false" outlineLevel="0" collapsed="false">
      <c r="A19" s="9" t="s">
        <v>248</v>
      </c>
      <c r="B19" s="17" t="n">
        <f aca="false">DEP_TIME*((MKT0+FTP_SLOPE*MIN(DUR_TIME,FTP_MAXDUR))-C_TIME)</f>
        <v>13690</v>
      </c>
    </row>
    <row r="20" customFormat="false" ht="15" hidden="false" customHeight="false" outlineLevel="0" collapsed="false">
      <c r="A20" s="9" t="s">
        <v>47</v>
      </c>
      <c r="B20" s="17" t="n">
        <f aca="false">FHLB*((MKT0+FTP_SLOPE*MIN(DUR_FHLB,FTP_MAXDUR))-C_FHLB)</f>
        <v>1627.5</v>
      </c>
    </row>
    <row r="21" customFormat="false" ht="15" hidden="false" customHeight="false" outlineLevel="0" collapsed="false">
      <c r="A21" s="9" t="s">
        <v>49</v>
      </c>
      <c r="B21" s="17" t="n">
        <f aca="false">SUBDEBT*((MKT0+FTP_SLOPE*MIN(DUR_SUB,FTP_MAXDUR))-C_SUB)</f>
        <v>-3675</v>
      </c>
    </row>
    <row r="22" customFormat="false" ht="15" hidden="false" customHeight="false" outlineLevel="0" collapsed="false">
      <c r="A22" s="14" t="s">
        <v>249</v>
      </c>
      <c r="B22" s="15" t="n">
        <f aca="false">M_NIB+M_SAV+M_TIME+M_FHLB+M_SUB</f>
        <v>135810.5</v>
      </c>
    </row>
    <row r="23" customFormat="false" ht="15" hidden="false" customHeight="false" outlineLevel="0" collapsed="false">
      <c r="A23" s="14" t="s">
        <v>250</v>
      </c>
      <c r="B23" s="15" t="n">
        <f aca="false">NII0-M_LENDING-M_DEPOSITS</f>
        <v>10740</v>
      </c>
    </row>
    <row r="24" customFormat="false" ht="15" hidden="false" customHeight="false" outlineLevel="0" collapsed="false">
      <c r="A24" s="14" t="s">
        <v>251</v>
      </c>
      <c r="B24" s="18" t="n">
        <f aca="false">M_DEPOSITS/NII0</f>
        <v>0.642023778570922</v>
      </c>
    </row>
    <row r="25" customFormat="false" ht="15" hidden="false" customHeight="false" outlineLevel="0" collapsed="false">
      <c r="A25" s="4" t="s">
        <v>252</v>
      </c>
      <c r="B25" s="8"/>
      <c r="C25" s="8"/>
    </row>
    <row r="27" customFormat="false" ht="15" hidden="false" customHeight="false" outlineLevel="0" collapsed="false">
      <c r="A27" s="9" t="s">
        <v>253</v>
      </c>
      <c r="B27" s="17" t="n">
        <f aca="false">OPEX*OPEX_DEP</f>
        <v>118400</v>
      </c>
    </row>
    <row r="28" customFormat="false" ht="15" hidden="false" customHeight="false" outlineLevel="0" collapsed="false">
      <c r="A28" s="9" t="s">
        <v>254</v>
      </c>
      <c r="B28" s="16" t="n">
        <f aca="false">OPEX/(NII0+FEES)</f>
        <v>0.586057378185202</v>
      </c>
    </row>
    <row r="29" customFormat="false" ht="15" hidden="false" customHeight="false" outlineLevel="0" collapsed="false">
      <c r="A29" s="14" t="s">
        <v>255</v>
      </c>
      <c r="B29" s="18" t="n">
        <f aca="false">(OPEX_COLLECT+DEP_SAV*C_SAV+DEP_TIME*C_TIME)/(DEP_NIB+DEP_SAV+DEP_TIME)</f>
        <v>0.021112962962963</v>
      </c>
    </row>
    <row r="30" customFormat="false" ht="15" hidden="false" customHeight="false" outlineLevel="0" collapsed="false">
      <c r="A30" s="14" t="s">
        <v>256</v>
      </c>
      <c r="B30" s="18" t="n">
        <f aca="false">(OPEX_COLLECT+DEP_SAV*C_SAV1+DEP_TIME*C_TIME1)/(DEP_NIB+DEP_SAV+DEP_TIME)</f>
        <v>0.0368012345679012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8"/>
    <col collapsed="false" customWidth="true" hidden="false" outlineLevel="0" max="3" min="3" style="0" width="4"/>
    <col collapsed="false" customWidth="true" hidden="false" outlineLevel="0" max="4" min="4" style="0" width="70"/>
  </cols>
  <sheetData>
    <row r="1" customFormat="false" ht="24" hidden="false" customHeight="true" outlineLevel="0" collapsed="false">
      <c r="A1" s="1" t="s">
        <v>257</v>
      </c>
    </row>
    <row r="2" customFormat="false" ht="15" hidden="false" customHeight="false" outlineLevel="0" collapsed="false">
      <c r="A2" s="2" t="s">
        <v>258</v>
      </c>
    </row>
    <row r="3" customFormat="false" ht="15" hidden="false" customHeight="false" outlineLevel="0" collapsed="false">
      <c r="A3" s="3"/>
      <c r="B3" s="3"/>
    </row>
    <row r="6" customFormat="false" ht="15" hidden="false" customHeight="false" outlineLevel="0" collapsed="false">
      <c r="A6" s="4" t="s">
        <v>259</v>
      </c>
      <c r="B6" s="8"/>
      <c r="C6" s="8"/>
    </row>
    <row r="8" customFormat="false" ht="15" hidden="false" customHeight="false" outlineLevel="0" collapsed="false">
      <c r="A8" s="9" t="s">
        <v>260</v>
      </c>
      <c r="B8" s="16" t="n">
        <f aca="false">-DUR_AFS*SHOCK+0.5*CVX_AFS*SHOCK^2</f>
        <v>-0.173825</v>
      </c>
    </row>
    <row r="9" customFormat="false" ht="15" hidden="false" customHeight="false" outlineLevel="0" collapsed="false">
      <c r="A9" s="9" t="s">
        <v>261</v>
      </c>
      <c r="B9" s="16" t="n">
        <f aca="false">-DUR_HTM*SHOCK+0.5*CVX_HTM*SHOCK^2</f>
        <v>-0.267378125</v>
      </c>
    </row>
    <row r="10" customFormat="false" ht="15" hidden="false" customHeight="false" outlineLevel="0" collapsed="false">
      <c r="A10" s="9" t="s">
        <v>262</v>
      </c>
      <c r="B10" s="16" t="n">
        <f aca="false">-DUR_FIX*SHOCK+0.5*CVX_FIX*SHOCK^2</f>
        <v>-0.14949375</v>
      </c>
    </row>
    <row r="11" customFormat="false" ht="15" hidden="false" customHeight="false" outlineLevel="0" collapsed="false">
      <c r="A11" s="4" t="s">
        <v>263</v>
      </c>
      <c r="B11" s="8"/>
      <c r="C11" s="8"/>
    </row>
    <row r="13" customFormat="false" ht="15" hidden="false" customHeight="false" outlineLevel="0" collapsed="false">
      <c r="A13" s="9" t="s">
        <v>264</v>
      </c>
      <c r="B13" s="17" t="n">
        <f aca="false">AFS*PX_AFS</f>
        <v>-205113.5</v>
      </c>
    </row>
    <row r="14" customFormat="false" ht="15" hidden="false" customHeight="false" outlineLevel="0" collapsed="false">
      <c r="A14" s="9" t="s">
        <v>265</v>
      </c>
      <c r="B14" s="17" t="n">
        <f aca="false">HTM*PX_HTM</f>
        <v>-438500.125</v>
      </c>
    </row>
    <row r="15" customFormat="false" ht="15" hidden="false" customHeight="false" outlineLevel="0" collapsed="false">
      <c r="A15" s="9" t="s">
        <v>266</v>
      </c>
      <c r="B15" s="17" t="n">
        <f aca="false">LOANS_FIX*PX_FIX</f>
        <v>-426057.1875</v>
      </c>
    </row>
    <row r="16" customFormat="false" ht="15" hidden="false" customHeight="false" outlineLevel="0" collapsed="false">
      <c r="A16" s="9" t="s">
        <v>267</v>
      </c>
      <c r="B16" s="17" t="n">
        <f aca="false">MV_AFS*(1-TAX)</f>
        <v>-153835.125</v>
      </c>
    </row>
    <row r="17" customFormat="false" ht="15" hidden="false" customHeight="false" outlineLevel="0" collapsed="false">
      <c r="A17" s="9" t="s">
        <v>268</v>
      </c>
      <c r="B17" s="17" t="n">
        <f aca="false">MV_HTM*(1-TAX)</f>
        <v>-328875.09375</v>
      </c>
    </row>
    <row r="18" customFormat="false" ht="15" hidden="false" customHeight="false" outlineLevel="0" collapsed="false">
      <c r="A18" s="9" t="s">
        <v>269</v>
      </c>
      <c r="B18" s="17" t="n">
        <f aca="false">MV_FIX*(1-TAX)</f>
        <v>-319542.890625</v>
      </c>
    </row>
    <row r="19" customFormat="false" ht="15" hidden="false" customHeight="false" outlineLevel="0" collapsed="false">
      <c r="A19" s="9" t="s">
        <v>270</v>
      </c>
      <c r="B19" s="17" t="n">
        <f aca="false">DEP_TIME*(1-BETA_TIME)*DUR_TIME*SHOCK*(1-TAX)</f>
        <v>6368.625</v>
      </c>
    </row>
    <row r="20" customFormat="false" ht="15" hidden="false" customHeight="false" outlineLevel="0" collapsed="false">
      <c r="A20" s="9" t="s">
        <v>271</v>
      </c>
      <c r="B20" s="17" t="n">
        <f aca="false">(DEP_NIB+DEP_SAV)*(1-BETA_SAV)*DEP_LIFE*SHOCK*(1-TAX)</f>
        <v>435093.75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272</v>
      </c>
    </row>
    <row r="2" customFormat="false" ht="15" hidden="false" customHeight="false" outlineLevel="0" collapsed="false">
      <c r="A2" s="2" t="s">
        <v>273</v>
      </c>
    </row>
    <row r="3" customFormat="false" ht="15" hidden="false" customHeight="false" outlineLevel="0" collapsed="false">
      <c r="A3" s="3"/>
      <c r="B3" s="3"/>
      <c r="C3" s="3"/>
      <c r="D3" s="3"/>
      <c r="E3" s="3"/>
      <c r="F3" s="3"/>
    </row>
    <row r="5" customFormat="false" ht="15" hidden="false" customHeight="false" outlineLevel="0" collapsed="false">
      <c r="A5" s="7" t="s">
        <v>274</v>
      </c>
    </row>
    <row r="7" customFormat="false" ht="31.5" hidden="false" customHeight="true" outlineLevel="0" collapsed="false">
      <c r="A7" s="21" t="s">
        <v>275</v>
      </c>
      <c r="B7" s="22" t="s">
        <v>276</v>
      </c>
      <c r="C7" s="22" t="s">
        <v>277</v>
      </c>
      <c r="D7" s="22" t="s">
        <v>278</v>
      </c>
      <c r="E7" s="22" t="s">
        <v>279</v>
      </c>
      <c r="F7" s="22" t="s">
        <v>280</v>
      </c>
    </row>
    <row r="8" customFormat="false" ht="15" hidden="false" customHeight="false" outlineLevel="0" collapsed="false">
      <c r="A8" s="9" t="s">
        <v>281</v>
      </c>
      <c r="B8" s="9" t="s">
        <v>167</v>
      </c>
      <c r="C8" s="20" t="n">
        <v>211535</v>
      </c>
      <c r="D8" s="20" t="n">
        <f aca="false">NII0</f>
        <v>211535</v>
      </c>
      <c r="E8" s="23" t="n">
        <f aca="false">D8-C8</f>
        <v>0</v>
      </c>
      <c r="F8" s="24" t="str">
        <f aca="false">IF(ABS(E8)&lt;=0.01,"PASS","FAIL")</f>
        <v>PASS</v>
      </c>
    </row>
    <row r="9" customFormat="false" ht="15" hidden="false" customHeight="false" outlineLevel="0" collapsed="false">
      <c r="A9" s="25" t="s">
        <v>281</v>
      </c>
      <c r="B9" s="25" t="s">
        <v>177</v>
      </c>
      <c r="C9" s="26" t="n">
        <v>169800</v>
      </c>
      <c r="D9" s="26" t="n">
        <f aca="false">NII1</f>
        <v>169800</v>
      </c>
      <c r="E9" s="27" t="n">
        <f aca="false">D9-C9</f>
        <v>0</v>
      </c>
      <c r="F9" s="28" t="str">
        <f aca="false">IF(ABS(E9)&lt;=0.01,"PASS","FAIL")</f>
        <v>PASS</v>
      </c>
    </row>
    <row r="10" customFormat="false" ht="15" hidden="false" customHeight="false" outlineLevel="0" collapsed="false">
      <c r="A10" s="9" t="s">
        <v>281</v>
      </c>
      <c r="B10" s="9" t="s">
        <v>169</v>
      </c>
      <c r="C10" s="29" t="n">
        <v>0.02747208</v>
      </c>
      <c r="D10" s="29" t="n">
        <f aca="false">NIM0</f>
        <v>0.0274720779220779</v>
      </c>
      <c r="E10" s="23" t="n">
        <f aca="false">D10-C10</f>
        <v>-2.07792207745916E-009</v>
      </c>
      <c r="F10" s="24" t="str">
        <f aca="false">IF(ABS(E10)&lt;=0.00000005,"PASS","FAIL")</f>
        <v>PASS</v>
      </c>
    </row>
    <row r="11" customFormat="false" ht="15" hidden="false" customHeight="false" outlineLevel="0" collapsed="false">
      <c r="A11" s="25" t="s">
        <v>281</v>
      </c>
      <c r="B11" s="25" t="s">
        <v>178</v>
      </c>
      <c r="C11" s="30" t="n">
        <v>0.02205195</v>
      </c>
      <c r="D11" s="30" t="n">
        <f aca="false">NIM1</f>
        <v>0.0220519480519481</v>
      </c>
      <c r="E11" s="27" t="n">
        <f aca="false">D11-C11</f>
        <v>-1.94805194891901E-009</v>
      </c>
      <c r="F11" s="28" t="str">
        <f aca="false">IF(ABS(E11)&lt;=0.00000005,"PASS","FAIL")</f>
        <v>PASS</v>
      </c>
    </row>
    <row r="12" customFormat="false" ht="15" hidden="false" customHeight="false" outlineLevel="0" collapsed="false">
      <c r="A12" s="9" t="s">
        <v>281</v>
      </c>
      <c r="B12" s="9" t="s">
        <v>181</v>
      </c>
      <c r="C12" s="20" t="n">
        <v>27600</v>
      </c>
      <c r="D12" s="20" t="n">
        <f aca="false">NET_INCOME</f>
        <v>27600</v>
      </c>
      <c r="E12" s="23" t="n">
        <f aca="false">D12-C12</f>
        <v>0</v>
      </c>
      <c r="F12" s="24" t="str">
        <f aca="false">IF(ABS(E12)&lt;=0.01,"PASS","FAIL")</f>
        <v>PASS</v>
      </c>
    </row>
    <row r="13" customFormat="false" ht="15" hidden="false" customHeight="false" outlineLevel="0" collapsed="false">
      <c r="A13" s="25" t="s">
        <v>282</v>
      </c>
      <c r="B13" s="25" t="s">
        <v>283</v>
      </c>
      <c r="C13" s="26" t="n">
        <v>64984.5</v>
      </c>
      <c r="D13" s="26" t="n">
        <f aca="false">M_LENDING</f>
        <v>64984.5</v>
      </c>
      <c r="E13" s="27" t="n">
        <f aca="false">D13-C13</f>
        <v>0</v>
      </c>
      <c r="F13" s="28" t="str">
        <f aca="false">IF(ABS(E13)&lt;=0.01,"PASS","FAIL")</f>
        <v>PASS</v>
      </c>
    </row>
    <row r="14" customFormat="false" ht="15" hidden="false" customHeight="false" outlineLevel="0" collapsed="false">
      <c r="A14" s="9" t="s">
        <v>282</v>
      </c>
      <c r="B14" s="9" t="s">
        <v>284</v>
      </c>
      <c r="C14" s="20" t="n">
        <v>135810.5</v>
      </c>
      <c r="D14" s="20" t="n">
        <f aca="false">M_DEPOSITS</f>
        <v>135810.5</v>
      </c>
      <c r="E14" s="23" t="n">
        <f aca="false">D14-C14</f>
        <v>0</v>
      </c>
      <c r="F14" s="24" t="str">
        <f aca="false">IF(ABS(E14)&lt;=0.01,"PASS","FAIL")</f>
        <v>PASS</v>
      </c>
    </row>
    <row r="15" customFormat="false" ht="15" hidden="false" customHeight="false" outlineLevel="0" collapsed="false">
      <c r="A15" s="25" t="s">
        <v>282</v>
      </c>
      <c r="B15" s="25" t="s">
        <v>250</v>
      </c>
      <c r="C15" s="26" t="n">
        <v>10740</v>
      </c>
      <c r="D15" s="26" t="n">
        <f aca="false">M_TREASURY</f>
        <v>10740</v>
      </c>
      <c r="E15" s="27" t="n">
        <f aca="false">D15-C15</f>
        <v>0</v>
      </c>
      <c r="F15" s="28" t="str">
        <f aca="false">IF(ABS(E15)&lt;=0.01,"PASS","FAIL")</f>
        <v>PASS</v>
      </c>
    </row>
    <row r="16" customFormat="false" ht="15" hidden="false" customHeight="false" outlineLevel="0" collapsed="false">
      <c r="A16" s="9" t="s">
        <v>282</v>
      </c>
      <c r="B16" s="9" t="s">
        <v>251</v>
      </c>
      <c r="C16" s="29" t="n">
        <v>0.64202379</v>
      </c>
      <c r="D16" s="29" t="n">
        <f aca="false">M_SHARE</f>
        <v>0.642023778570922</v>
      </c>
      <c r="E16" s="23" t="n">
        <f aca="false">D16-C16</f>
        <v>-1.14290777952775E-008</v>
      </c>
      <c r="F16" s="24" t="str">
        <f aca="false">IF(ABS(E16)&lt;=0.00000005,"PASS","FAIL")</f>
        <v>PASS</v>
      </c>
    </row>
    <row r="17" customFormat="false" ht="15" hidden="false" customHeight="false" outlineLevel="0" collapsed="false">
      <c r="A17" s="25" t="s">
        <v>285</v>
      </c>
      <c r="B17" s="25" t="s">
        <v>254</v>
      </c>
      <c r="C17" s="30" t="n">
        <v>0.58605697</v>
      </c>
      <c r="D17" s="30" t="n">
        <f aca="false">COST_RATIO</f>
        <v>0.586057378185202</v>
      </c>
      <c r="E17" s="27" t="n">
        <f aca="false">D17-C17</f>
        <v>4.08185202083189E-007</v>
      </c>
      <c r="F17" s="28" t="str">
        <f aca="false">IF(ABS(E17)&lt;=0.0000005,"PASS","FAIL")</f>
        <v>PASS</v>
      </c>
    </row>
    <row r="18" customFormat="false" ht="15" hidden="false" customHeight="false" outlineLevel="0" collapsed="false">
      <c r="A18" s="9" t="s">
        <v>285</v>
      </c>
      <c r="B18" s="9" t="s">
        <v>255</v>
      </c>
      <c r="C18" s="29" t="n">
        <v>0.02111296</v>
      </c>
      <c r="D18" s="29" t="n">
        <f aca="false">DEP_COST0</f>
        <v>0.021112962962963</v>
      </c>
      <c r="E18" s="23" t="n">
        <f aca="false">D18-C18</f>
        <v>2.96296296178888E-009</v>
      </c>
      <c r="F18" s="24" t="str">
        <f aca="false">IF(ABS(E18)&lt;=0.00000005,"PASS","FAIL")</f>
        <v>PASS</v>
      </c>
    </row>
    <row r="19" customFormat="false" ht="15" hidden="false" customHeight="false" outlineLevel="0" collapsed="false">
      <c r="A19" s="25" t="s">
        <v>285</v>
      </c>
      <c r="B19" s="25" t="s">
        <v>256</v>
      </c>
      <c r="C19" s="30" t="n">
        <v>0.03680123</v>
      </c>
      <c r="D19" s="30" t="n">
        <f aca="false">DEP_COST1</f>
        <v>0.0368012345679012</v>
      </c>
      <c r="E19" s="27" t="n">
        <f aca="false">D19-C19</f>
        <v>4.56790123781747E-009</v>
      </c>
      <c r="F19" s="28" t="str">
        <f aca="false">IF(ABS(E19)&lt;=0.00000005,"PASS","FAIL")</f>
        <v>PASS</v>
      </c>
    </row>
    <row r="20" customFormat="false" ht="15" hidden="false" customHeight="false" outlineLevel="0" collapsed="false">
      <c r="A20" s="9" t="s">
        <v>286</v>
      </c>
      <c r="B20" s="9" t="s">
        <v>287</v>
      </c>
      <c r="C20" s="29" t="n">
        <v>0.54012346</v>
      </c>
      <c r="D20" s="29" t="n">
        <f aca="false">BETA_SAV_ONLY</f>
        <v>0.540123456790123</v>
      </c>
      <c r="E20" s="23" t="n">
        <f aca="false">D20-C20</f>
        <v>-3.20987658675165E-009</v>
      </c>
      <c r="F20" s="24" t="str">
        <f aca="false">IF(ABS(E20)&lt;=0.00000005,"PASS","FAIL")</f>
        <v>PASS</v>
      </c>
    </row>
    <row r="21" customFormat="false" ht="15" hidden="false" customHeight="false" outlineLevel="0" collapsed="false">
      <c r="A21" s="25" t="s">
        <v>286</v>
      </c>
      <c r="B21" s="25" t="s">
        <v>288</v>
      </c>
      <c r="C21" s="30" t="n">
        <v>0.61724764</v>
      </c>
      <c r="D21" s="30" t="n">
        <f aca="false">BETA_BREAKEVEN</f>
        <v>0.617247639796659</v>
      </c>
      <c r="E21" s="27" t="n">
        <f aca="false">D21-C21</f>
        <v>-2.03340677629171E-010</v>
      </c>
      <c r="F21" s="28" t="str">
        <f aca="false">IF(ABS(E21)&lt;=0.00000005,"PASS","FAIL")</f>
        <v>PASS</v>
      </c>
    </row>
    <row r="22" customFormat="false" ht="15" hidden="false" customHeight="false" outlineLevel="0" collapsed="false">
      <c r="A22" s="9" t="s">
        <v>286</v>
      </c>
      <c r="B22" s="9" t="s">
        <v>289</v>
      </c>
      <c r="C22" s="20" t="n">
        <v>-379</v>
      </c>
      <c r="D22" s="20" t="n">
        <f aca="false">PBT_BETA_TEST</f>
        <v>-379</v>
      </c>
      <c r="E22" s="23" t="n">
        <f aca="false">D22-C22</f>
        <v>0</v>
      </c>
      <c r="F22" s="24" t="str">
        <f aca="false">IF(ABS(E22)&lt;=0.01,"PASS","FAIL")</f>
        <v>PASS</v>
      </c>
    </row>
    <row r="23" customFormat="false" ht="15" hidden="false" customHeight="false" outlineLevel="0" collapsed="false">
      <c r="A23" s="25" t="s">
        <v>290</v>
      </c>
      <c r="B23" s="25" t="s">
        <v>291</v>
      </c>
      <c r="C23" s="26" t="n">
        <v>53382.3675</v>
      </c>
      <c r="D23" s="26" t="n">
        <f aca="false">FLT_REAL</f>
        <v>53382.3675</v>
      </c>
      <c r="E23" s="27" t="n">
        <f aca="false">D23-C23</f>
        <v>0</v>
      </c>
      <c r="F23" s="28" t="str">
        <f aca="false">IF(ABS(E23)&lt;=0.01,"PASS","FAIL")</f>
        <v>PASS</v>
      </c>
    </row>
    <row r="24" customFormat="false" ht="15" hidden="false" customHeight="false" outlineLevel="0" collapsed="false">
      <c r="A24" s="9" t="s">
        <v>290</v>
      </c>
      <c r="B24" s="9" t="s">
        <v>223</v>
      </c>
      <c r="C24" s="29" t="n">
        <v>0.78015882</v>
      </c>
      <c r="D24" s="29" t="n">
        <f aca="false">FLT_BETA</f>
        <v>0.780158823529412</v>
      </c>
      <c r="E24" s="23" t="n">
        <f aca="false">D24-C24</f>
        <v>3.52941187387046E-009</v>
      </c>
      <c r="F24" s="24" t="str">
        <f aca="false">IF(ABS(E24)&lt;=0.00000005,"PASS","FAIL")</f>
        <v>PASS</v>
      </c>
    </row>
    <row r="25" customFormat="false" ht="15" hidden="false" customHeight="false" outlineLevel="0" collapsed="false">
      <c r="A25" s="25" t="s">
        <v>290</v>
      </c>
      <c r="B25" s="25" t="s">
        <v>224</v>
      </c>
      <c r="C25" s="26" t="n">
        <v>15042.6325</v>
      </c>
      <c r="D25" s="26" t="n">
        <f aca="false">FLT_SHORTFALL</f>
        <v>15042.6325</v>
      </c>
      <c r="E25" s="27" t="n">
        <f aca="false">D25-C25</f>
        <v>0</v>
      </c>
      <c r="F25" s="28" t="str">
        <f aca="false">IF(ABS(E25)&lt;=0.01,"PASS","FAIL")</f>
        <v>PASS</v>
      </c>
    </row>
    <row r="26" customFormat="false" ht="15" hidden="false" customHeight="false" outlineLevel="0" collapsed="false">
      <c r="A26" s="9" t="s">
        <v>281</v>
      </c>
      <c r="B26" s="9" t="s">
        <v>184</v>
      </c>
      <c r="C26" s="20" t="n">
        <v>86275</v>
      </c>
      <c r="D26" s="20" t="n">
        <f aca="false">Margin!B32</f>
        <v>86275</v>
      </c>
      <c r="E26" s="23" t="n">
        <f aca="false">D26-C26</f>
        <v>0</v>
      </c>
      <c r="F26" s="24" t="str">
        <f aca="false">IF(ABS(E26)&lt;=0.01,"PASS","FAIL")</f>
        <v>PASS</v>
      </c>
    </row>
    <row r="27" customFormat="false" ht="15" hidden="false" customHeight="false" outlineLevel="0" collapsed="false">
      <c r="A27" s="9" t="s">
        <v>281</v>
      </c>
      <c r="B27" s="9" t="s">
        <v>185</v>
      </c>
      <c r="C27" s="20" t="n">
        <v>128010</v>
      </c>
      <c r="D27" s="20" t="n">
        <f aca="false">Margin!B33</f>
        <v>128010</v>
      </c>
      <c r="E27" s="23" t="n">
        <f aca="false">D27-C27</f>
        <v>0</v>
      </c>
      <c r="F27" s="24" t="str">
        <f aca="false">IF(ABS(E27)&lt;=0.01,"PASS","FAIL")</f>
        <v>PASS</v>
      </c>
    </row>
    <row r="28" customFormat="false" ht="15" hidden="false" customHeight="false" outlineLevel="0" collapsed="false">
      <c r="A28" s="9" t="s">
        <v>282</v>
      </c>
      <c r="B28" s="9" t="s">
        <v>292</v>
      </c>
      <c r="C28" s="20" t="n">
        <v>211535</v>
      </c>
      <c r="D28" s="20" t="n">
        <f aca="false">M_LENDING+M_DEPOSITS+M_TREASURY</f>
        <v>211535</v>
      </c>
      <c r="E28" s="23" t="n">
        <f aca="false">D28-C28</f>
        <v>0</v>
      </c>
      <c r="F28" s="24" t="str">
        <f aca="false">IF(ABS(E28)&lt;=0.01,"PASS","FAIL")</f>
        <v>PASS</v>
      </c>
    </row>
    <row r="29" customFormat="false" ht="15" hidden="false" customHeight="false" outlineLevel="0" collapsed="false">
      <c r="A29" s="9" t="s">
        <v>286</v>
      </c>
      <c r="B29" s="9" t="s">
        <v>293</v>
      </c>
      <c r="C29" s="23" t="n">
        <v>0.2268</v>
      </c>
      <c r="D29" s="23" t="n">
        <f aca="false">BETA_ALL_MARGIN</f>
        <v>0.2268</v>
      </c>
      <c r="E29" s="23" t="n">
        <f aca="false">D29-C29</f>
        <v>0</v>
      </c>
      <c r="F29" s="24" t="str">
        <f aca="false">IF(ABS(E29)&lt;=0.00000005,"PASS","FAIL")</f>
        <v>PASS</v>
      </c>
    </row>
    <row r="30" customFormat="false" ht="15" hidden="false" customHeight="false" outlineLevel="0" collapsed="false">
      <c r="A30" s="9" t="s">
        <v>286</v>
      </c>
      <c r="B30" s="9" t="s">
        <v>294</v>
      </c>
      <c r="C30" s="20" t="n">
        <v>10620</v>
      </c>
      <c r="D30" s="20" t="n">
        <f aca="false">PBT_ALL_READING</f>
        <v>10620</v>
      </c>
      <c r="E30" s="23" t="n">
        <f aca="false">D30-C30</f>
        <v>0</v>
      </c>
      <c r="F30" s="24" t="str">
        <f aca="false">IF(ABS(E30)&lt;=0.01,"PASS","FAIL")</f>
        <v>PASS</v>
      </c>
    </row>
    <row r="31" customFormat="false" ht="15" hidden="false" customHeight="false" outlineLevel="0" collapsed="false">
      <c r="A31" s="9" t="s">
        <v>286</v>
      </c>
      <c r="B31" s="9" t="s">
        <v>295</v>
      </c>
      <c r="C31" s="23" t="n">
        <v>0.39997647</v>
      </c>
      <c r="D31" s="23" t="n">
        <f aca="false">BETA_BE_ALL</f>
        <v>0.399976470588235</v>
      </c>
      <c r="E31" s="23" t="n">
        <f aca="false">D31-C31</f>
        <v>5.88235238296875E-010</v>
      </c>
      <c r="F31" s="24" t="str">
        <f aca="false">IF(ABS(E31)&lt;=0.00000005,"PASS","FAIL")</f>
        <v>PASS</v>
      </c>
    </row>
    <row r="32" customFormat="false" ht="15" hidden="false" customHeight="false" outlineLevel="0" collapsed="false">
      <c r="A32" s="9" t="s">
        <v>290</v>
      </c>
      <c r="B32" s="9" t="s">
        <v>228</v>
      </c>
      <c r="C32" s="20" t="n">
        <v>3719.1</v>
      </c>
      <c r="D32" s="20" t="n">
        <f aca="false">Floors!B22</f>
        <v>3719.1</v>
      </c>
      <c r="E32" s="23" t="n">
        <f aca="false">D32-C32</f>
        <v>0</v>
      </c>
      <c r="F32" s="24" t="str">
        <f aca="false">IF(ABS(E32)&lt;=0.01,"PASS","FAIL")</f>
        <v>PASS</v>
      </c>
    </row>
    <row r="33" customFormat="false" ht="15" hidden="false" customHeight="false" outlineLevel="0" collapsed="false">
      <c r="A33" s="9" t="s">
        <v>290</v>
      </c>
      <c r="B33" s="9" t="s">
        <v>296</v>
      </c>
      <c r="C33" s="20" t="n">
        <v>25476.4675</v>
      </c>
      <c r="D33" s="20" t="n">
        <f aca="false">Floors!B21</f>
        <v>25476.4675</v>
      </c>
      <c r="E33" s="23" t="n">
        <f aca="false">D33-C33</f>
        <v>0</v>
      </c>
      <c r="F33" s="24" t="str">
        <f aca="false">IF(ABS(E33)&lt;=0.01,"PASS","FAIL")</f>
        <v>PASS</v>
      </c>
    </row>
    <row r="34" customFormat="false" ht="15" hidden="false" customHeight="false" outlineLevel="0" collapsed="false">
      <c r="A34" s="9" t="s">
        <v>290</v>
      </c>
      <c r="B34" s="9" t="s">
        <v>297</v>
      </c>
      <c r="C34" s="23" t="n">
        <v>0.30770469</v>
      </c>
      <c r="D34" s="23" t="n">
        <f aca="false">Floors!B26</f>
        <v>0.3077046875</v>
      </c>
      <c r="E34" s="23" t="n">
        <f aca="false">D34-C34</f>
        <v>-2.49999998480632E-009</v>
      </c>
      <c r="F34" s="24" t="str">
        <f aca="false">IF(ABS(E34)&lt;=0.00000005,"PASS","FAIL")</f>
        <v>PASS</v>
      </c>
    </row>
    <row r="36" customFormat="false" ht="15" hidden="false" customHeight="false" outlineLevel="0" collapsed="false">
      <c r="B36" s="14" t="s">
        <v>298</v>
      </c>
      <c r="C36" s="31" t="n">
        <f aca="false">COUNTIF(F8:F34,"PASS")</f>
        <v>27</v>
      </c>
    </row>
    <row r="37" customFormat="false" ht="15" hidden="false" customHeight="false" outlineLevel="0" collapsed="false">
      <c r="B37" s="14" t="s">
        <v>299</v>
      </c>
      <c r="C37" s="31" t="n">
        <f aca="false">COUNTIF(F8:F34,"FAIL")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2026-08-30T20:04:50Z</dcterms:created>
  <dc:creator>openpyxl</dc:creator>
  <dc:description/>
  <dc:language>en-US</dc:language>
  <cp:lastModifiedBy/>
  <dcterms:modified xsi:type="dcterms:W3CDTF">2026-09-24T19:45:14Z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