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Gap" sheetId="3" state="visible" r:id="rId5"/>
    <sheet name="Marks" sheetId="4" state="visible" r:id="rId6"/>
    <sheet name="Margin" sheetId="5" state="visible" r:id="rId7"/>
    <sheet name="Economic value" sheetId="6" state="visible" r:id="rId8"/>
    <sheet name="Surface" sheetId="7" state="visible" r:id="rId9"/>
    <sheet name="Two horizons" sheetId="8" state="visible" r:id="rId10"/>
    <sheet name="Checks" sheetId="9" state="visible" r:id="rId11"/>
  </sheets>
  <definedNames>
    <definedName function="false" hidden="false" name="AFS" vbProcedure="false">Inputs!$B$10</definedName>
    <definedName function="false" hidden="false" name="AOCI0" vbProcedure="false">Inputs!$B$57</definedName>
    <definedName function="false" hidden="false" name="AOCI0_N" vbProcedure="false">'Economic value'!$B$8</definedName>
    <definedName function="false" hidden="false" name="ASSETS1" vbProcedure="false">'Economic value'!$B$13</definedName>
    <definedName function="false" hidden="false" name="ASSETS_REPRICE" vbProcedure="false">Gap!$B$8</definedName>
    <definedName function="false" hidden="false" name="BETA_ALL" vbProcedure="false">Gap!$B$15</definedName>
    <definedName function="false" hidden="false" name="BETA_BREAKEVEN" vbProcedure="false">Gap!$B$20</definedName>
    <definedName function="false" hidden="false" name="BETA_RATIO" vbProcedure="false">Gap!$B$17</definedName>
    <definedName function="false" hidden="false" name="BETA_SAV" vbProcedure="false">Inputs!$B$46</definedName>
    <definedName function="false" hidden="false" name="BETA_SAV_ONLY" vbProcedure="false">Gap!$B$16</definedName>
    <definedName function="false" hidden="false" name="BETA_TEST" vbProcedure="false">Inputs!$B$80</definedName>
    <definedName function="false" hidden="false" name="BETA_TIME" vbProcedure="false">Inputs!$B$47</definedName>
    <definedName function="false" hidden="false" name="CASH" vbProcedure="false">Inputs!$B$9</definedName>
    <definedName function="false" hidden="false" name="CDI_AMORT" vbProcedure="false">'Economic value'!$B$34</definedName>
    <definedName function="false" hidden="false" name="CDI_LIFE" vbProcedure="false">Inputs!$B$83</definedName>
    <definedName function="false" hidden="false" name="CDI_VS_INCOME" vbProcedure="false">'Economic value'!$B$35</definedName>
    <definedName function="false" hidden="false" name="CET1_0" vbProcedure="false">'Economic value'!$B$9</definedName>
    <definedName function="false" hidden="false" name="CET1_1" vbProcedure="false">'Economic value'!$B$11</definedName>
    <definedName function="false" hidden="false" name="CET1_2" vbProcedure="false">'Economic value'!$B$12</definedName>
    <definedName function="false" hidden="false" name="COST_BETA_TEST" vbProcedure="false">Gap!$B$21</definedName>
    <definedName function="false" hidden="false" name="CVX_AFS" vbProcedure="false">Inputs!$B$41</definedName>
    <definedName function="false" hidden="false" name="CVX_FIX" vbProcedure="false">Inputs!$B$43</definedName>
    <definedName function="false" hidden="false" name="CVX_HTM" vbProcedure="false">Inputs!$B$42</definedName>
    <definedName function="false" hidden="false" name="C_FHLB" vbProcedure="false">Inputs!$B$34</definedName>
    <definedName function="false" hidden="false" name="C_FHLB1" vbProcedure="false">Margin!$B$19</definedName>
    <definedName function="false" hidden="false" name="C_SAV" vbProcedure="false">Inputs!$B$32</definedName>
    <definedName function="false" hidden="false" name="C_SAV1" vbProcedure="false">Margin!$B$17</definedName>
    <definedName function="false" hidden="false" name="C_SUB" vbProcedure="false">Inputs!$B$35</definedName>
    <definedName function="false" hidden="false" name="C_TIME" vbProcedure="false">Inputs!$B$33</definedName>
    <definedName function="false" hidden="false" name="C_TIME1" vbProcedure="false">Margin!$B$18</definedName>
    <definedName function="false" hidden="false" name="DEP_LIFE" vbProcedure="false">Inputs!$B$45</definedName>
    <definedName function="false" hidden="false" name="DEP_NIB" vbProcedure="false">Inputs!$B$16</definedName>
    <definedName function="false" hidden="false" name="DEP_PREMIUM" vbProcedure="false">'Economic value'!$B$30</definedName>
    <definedName function="false" hidden="false" name="DEP_SAV" vbProcedure="false">Inputs!$B$17</definedName>
    <definedName function="false" hidden="false" name="DEP_TIME" vbProcedure="false">Inputs!$B$18</definedName>
    <definedName function="false" hidden="false" name="DISC_BOOK" vbProcedure="false">'Economic value'!$B$33</definedName>
    <definedName function="false" hidden="false" name="DISC_CET1" vbProcedure="false">'Economic value'!$B$32</definedName>
    <definedName function="false" hidden="false" name="DIVIDEND" vbProcedure="false">Inputs!$B$54</definedName>
    <definedName function="false" hidden="false" name="DUR_AFS" vbProcedure="false">Inputs!$B$38</definedName>
    <definedName function="false" hidden="false" name="DUR_FHLB" vbProcedure="false">Inputs!$B$71</definedName>
    <definedName function="false" hidden="false" name="DUR_FIX" vbProcedure="false">Inputs!$B$40</definedName>
    <definedName function="false" hidden="false" name="DUR_HTM" vbProcedure="false">Inputs!$B$39</definedName>
    <definedName function="false" hidden="false" name="DUR_SUB" vbProcedure="false">Inputs!$B$72</definedName>
    <definedName function="false" hidden="false" name="DUR_TIME" vbProcedure="false">Inputs!$B$44</definedName>
    <definedName function="false" hidden="false" name="D_EVE_100" vbProcedure="false">'Two horizons'!$C$8</definedName>
    <definedName function="false" hidden="false" name="D_EVE_400" vbProcedure="false">'Two horizons'!$C$11</definedName>
    <definedName function="false" hidden="false" name="D_NII_100" vbProcedure="false">'Two horizons'!$B$8</definedName>
    <definedName function="false" hidden="false" name="EARNING" vbProcedure="false">Margin!$B$12</definedName>
    <definedName function="false" hidden="false" name="EQUITY" vbProcedure="false">Inputs!$B$22</definedName>
    <definedName function="false" hidden="false" name="EQUITY1" vbProcedure="false">'Economic value'!$B$10</definedName>
    <definedName function="false" hidden="false" name="EVE" vbProcedure="false">'Economic value'!$B$16</definedName>
    <definedName function="false" hidden="false" name="EVE_BASE" vbProcedure="false">'Economic value'!$B$17</definedName>
    <definedName function="false" hidden="false" name="EXP0" vbProcedure="false">Margin!$B$10</definedName>
    <definedName function="false" hidden="false" name="EXP1" vbProcedure="false">Margin!$B$21</definedName>
    <definedName function="false" hidden="false" name="FEES" vbProcedure="false">Inputs!$B$52</definedName>
    <definedName function="false" hidden="false" name="FHLB" vbProcedure="false">Inputs!$B$19</definedName>
    <definedName function="false" hidden="false" name="FHLB_CAP" vbProcedure="false">Inputs!$B$63</definedName>
    <definedName function="false" hidden="false" name="FLOOR_LVL" vbProcedure="false">Inputs!$B$77</definedName>
    <definedName function="false" hidden="false" name="FLOOR_SHARE" vbProcedure="false">Inputs!$B$76</definedName>
    <definedName function="false" hidden="false" name="FRANCHISE_N" vbProcedure="false">Marks!$B$20</definedName>
    <definedName function="false" hidden="false" name="FTP_MAXDUR" vbProcedure="false">Inputs!$B$70</definedName>
    <definedName function="false" hidden="false" name="FTP_SLOPE" vbProcedure="false">Inputs!$B$69</definedName>
    <definedName function="false" hidden="false" name="GAP_1_3" vbProcedure="false">'Economic value'!$B$25</definedName>
    <definedName function="false" hidden="false" name="GAP_PREDICT" vbProcedure="false">Gap!$B$11</definedName>
    <definedName function="false" hidden="false" name="GOODWILL" vbProcedure="false">Inputs!$B$15</definedName>
    <definedName function="false" hidden="false" name="HAIRCUT_AFS" vbProcedure="false">Inputs!$B$61</definedName>
    <definedName function="false" hidden="false" name="HAIRCUT_HTM" vbProcedure="false">Inputs!$B$62</definedName>
    <definedName function="false" hidden="false" name="HTM" vbProcedure="false">Inputs!$B$11</definedName>
    <definedName function="false" hidden="false" name="INC0" vbProcedure="false">Margin!$B$9</definedName>
    <definedName function="false" hidden="false" name="INC1" vbProcedure="false">Margin!$B$20</definedName>
    <definedName function="false" hidden="false" name="LIAB_REPRICE" vbProcedure="false">Gap!$B$9</definedName>
    <definedName function="false" hidden="false" name="LOANS_FIX" vbProcedure="false">Inputs!$B$12</definedName>
    <definedName function="false" hidden="false" name="LOANS_FLT" vbProcedure="false">Inputs!$B$13</definedName>
    <definedName function="false" hidden="false" name="MKT0" vbProcedure="false">Inputs!$B$25</definedName>
    <definedName function="false" hidden="false" name="MULT_TCE" vbProcedure="false">'Economic value'!$B$31</definedName>
    <definedName function="false" hidden="false" name="MV_AFS" vbProcedure="false">Marks!$B$13</definedName>
    <definedName function="false" hidden="false" name="MV_AFS_N" vbProcedure="false">Marks!$B$16</definedName>
    <definedName function="false" hidden="false" name="MV_FIX" vbProcedure="false">Marks!$B$15</definedName>
    <definedName function="false" hidden="false" name="MV_FIX_N" vbProcedure="false">Marks!$B$18</definedName>
    <definedName function="false" hidden="false" name="MV_HTM" vbProcedure="false">Marks!$B$14</definedName>
    <definedName function="false" hidden="false" name="MV_HTM_N" vbProcedure="false">Marks!$B$17</definedName>
    <definedName function="false" hidden="false" name="MV_TIME_N" vbProcedure="false">Marks!$B$19</definedName>
    <definedName function="false" hidden="false" name="NET_INCOME" vbProcedure="false">Margin!$B$27</definedName>
    <definedName function="false" hidden="false" name="NII0" vbProcedure="false">Margin!$B$11</definedName>
    <definedName function="false" hidden="false" name="NII1" vbProcedure="false">Margin!$B$22</definedName>
    <definedName function="false" hidden="false" name="NII_MOVE" vbProcedure="false">Gap!$B$12</definedName>
    <definedName function="false" hidden="false" name="NIM0" vbProcedure="false">Margin!$B$13</definedName>
    <definedName function="false" hidden="false" name="NIM1" vbProcedure="false">Margin!$B$23</definedName>
    <definedName function="false" hidden="false" name="OPEX" vbProcedure="false">Inputs!$B$51</definedName>
    <definedName function="false" hidden="false" name="OPEX_DEP" vbProcedure="false">Inputs!$B$73</definedName>
    <definedName function="false" hidden="false" name="OTHER_ASSETS" vbProcedure="false">Inputs!$B$14</definedName>
    <definedName function="false" hidden="false" name="OTHER_LIAB" vbProcedure="false">Inputs!$B$21</definedName>
    <definedName function="false" hidden="false" name="OUT_FAST" vbProcedure="false">Inputs!$B$65</definedName>
    <definedName function="false" hidden="false" name="OUT_SLOW" vbProcedure="false">Inputs!$B$64</definedName>
    <definedName function="false" hidden="false" name="PBT" vbProcedure="false">Margin!$B$26</definedName>
    <definedName function="false" hidden="false" name="PBT_BETA_TEST" vbProcedure="false">Gap!$B$22</definedName>
    <definedName function="false" hidden="false" name="PRICE" vbProcedure="false">'Economic value'!$B$29</definedName>
    <definedName function="false" hidden="false" name="PROVISION" vbProcedure="false">Inputs!$B$53</definedName>
    <definedName function="false" hidden="false" name="PX_AFS" vbProcedure="false">Marks!$B$8</definedName>
    <definedName function="false" hidden="false" name="PX_FIX" vbProcedure="false">Marks!$B$10</definedName>
    <definedName function="false" hidden="false" name="PX_HTM" vbProcedure="false">Marks!$B$9</definedName>
    <definedName function="false" hidden="false" name="R1" vbProcedure="false">'Economic value'!$B$20</definedName>
    <definedName function="false" hidden="false" name="R1_OPEN" vbProcedure="false">'Economic value'!$B$24</definedName>
    <definedName function="false" hidden="false" name="R2" vbProcedure="false">'Economic value'!$B$21</definedName>
    <definedName function="false" hidden="false" name="R3" vbProcedure="false">'Economic value'!$B$22</definedName>
    <definedName function="false" hidden="false" name="R4" vbProcedure="false">'Economic value'!$B$23</definedName>
    <definedName function="false" hidden="false" name="RATIO_100_SAME" vbProcedure="false">'Two horizons'!$F$8</definedName>
    <definedName function="false" hidden="false" name="RESET_LAG" vbProcedure="false">Inputs!$B$79</definedName>
    <definedName function="false" hidden="false" name="RESET_SHARE" vbProcedure="false">Inputs!$B$78</definedName>
    <definedName function="false" hidden="false" name="RETAINED" vbProcedure="false">Margin!$B$28</definedName>
    <definedName function="false" hidden="false" name="RWA0" vbProcedure="false">Inputs!$B$55</definedName>
    <definedName function="false" hidden="false" name="RWA1" vbProcedure="false">Inputs!$B$56</definedName>
    <definedName function="false" hidden="false" name="SHOCK" vbProcedure="false">Inputs!$B$26</definedName>
    <definedName function="false" hidden="false" name="SPREAD_FLT" vbProcedure="false">Inputs!$B$31</definedName>
    <definedName function="false" hidden="false" name="SUBDEBT" vbProcedure="false">Inputs!$B$20</definedName>
    <definedName function="false" hidden="false" name="TANG_ASSETS" vbProcedure="false">'Economic value'!$B$15</definedName>
    <definedName function="false" hidden="false" name="TAX" vbProcedure="false">Inputs!$B$48</definedName>
    <definedName function="false" hidden="false" name="TCE" vbProcedure="false">'Economic value'!$B$14</definedName>
    <definedName function="false" hidden="false" name="TOT_ASSETS" vbProcedure="false">Inputs!$B$87</definedName>
    <definedName function="false" hidden="false" name="TOT_LIAB" vbProcedure="false">Inputs!$B$88</definedName>
    <definedName function="false" hidden="false" name="UNINS_SHARE" vbProcedure="false">Inputs!$B$60</definedName>
    <definedName function="false" hidden="false" name="WELLCAP" vbProcedure="false">Inputs!$B$66</definedName>
    <definedName function="false" hidden="false" name="WGAP" vbProcedure="false">Gap!$B$10</definedName>
    <definedName function="false" hidden="false" name="Y_AFS" vbProcedure="false">Inputs!$B$28</definedName>
    <definedName function="false" hidden="false" name="Y_CASH" vbProcedure="false">Inputs!$B$27</definedName>
    <definedName function="false" hidden="false" name="Y_FIX" vbProcedure="false">Inputs!$B$30</definedName>
    <definedName function="false" hidden="false" name="Y_FLT0" vbProcedure="false">Margin!$B$8</definedName>
    <definedName function="false" hidden="false" name="Y_FLT1" vbProcedure="false">Margin!$B$16</definedName>
    <definedName function="false" hidden="false" name="Y_HTM" vbProcedure="false">Inputs!$B$29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<sst xmlns="http://schemas.openxmlformats.org/spreadsheetml/2006/main" count="319" uniqueCount="295">
  <si>
    <t xml:space="preserve">Gap, Duration and Economic Value</t>
  </si>
  <si>
    <t xml:space="preserve">Workbook three of four — Bank Management, Julian R. Sterling</t>
  </si>
  <si>
    <t xml:space="preserve">What this workbook is</t>
  </si>
  <si>
    <t xml:space="preserve">The weighted repricing gap, the price change of each portfolio under duration and convexity, and the full economic value of equity — including the deposit franchise, which is where the argument lives.</t>
  </si>
  <si>
    <t xml:space="preserve">Its central sheet is the surface of chapter nine: economic equity as a function of deposit life and deposit beta, printed as a grid rather than a point, so that you can see your own corner rather than the author's. The second grid sets earnings sensitivity beside value sensitivity on the same shocks, because a bank that reports one and not the other has chosen which half of its exposure to disclose.</t>
  </si>
  <si>
    <t xml:space="preserve">The sheets</t>
  </si>
  <si>
    <t xml:space="preserve">Inputs — the only cells you type</t>
  </si>
  <si>
    <t xml:space="preserve">Gap — the weighted gap, and what it predicts</t>
  </si>
  <si>
    <t xml:space="preserve">Economic value — the four readings, and what a buyer would pay</t>
  </si>
  <si>
    <t xml:space="preserve">Surface — economic equity across both assumptions</t>
  </si>
  <si>
    <t xml:space="preserve">Two horizons — earnings sensitivity beside value sensitivity</t>
  </si>
  <si>
    <t xml:space="preserve">Checks — each printed figure against the live formula</t>
  </si>
  <si>
    <t xml:space="preserve">How to use it on your own bank</t>
  </si>
  <si>
    <t xml:space="preserve">Replace the shaded cells on Inputs with your own figures. Nothing else is typed anywhere in this file: every other cell is a formula, so the whole workbook follows. Start with the balance sheet, then the yields, then the two assumptions that decide most of the answer — the deposit beta and the assumed life of non-maturity deposits.</t>
  </si>
  <si>
    <t xml:space="preserve">The Checks sheet compares each figure printed in the book with the figure this workbook computes on the book's own inputs. All checks should say PASS before you change anything. If one says FAIL after you have edited the inputs, that is expected — you are no longer looking at Sagebrook.</t>
  </si>
  <si>
    <t xml:space="preserve">A warning about two of the inputs</t>
  </si>
  <si>
    <t xml:space="preserve">The assumed deposit life and the deposit beta are judgments, not measurements. Chapter nine of the book prints the surface rather than the point. At its corners the deposit franchise differs by a factor of 6.86 (765,000 against 111,563), and economic equity runs from 608,716 to minus 44,722. Before quoting any figure this workbook produces, look at what it does when those two cells move.</t>
  </si>
  <si>
    <t xml:space="preserve">Revised 24 September 2026</t>
  </si>
  <si>
    <t xml:space="preserve">The read-me no longer says the corners of the surface differ by a factor of seven: one of them is negative, so they have no ratio. It is the deposit franchise that differs by a factor of 6.86 between the corners, 765,000 against 111,563. The Surface sheet now reads its axes from its own header row and column, so a row or a column can be changed in one cell.</t>
  </si>
  <si>
    <t xml:space="preserve">Two horizons. The factor of eleven between value and earnings at 100 basis points sets a value change after tax, 108,787, against an earnings change before tax, 9,820. With both after tax the factor is 14.77. The sheet now carries both columns.</t>
  </si>
  <si>
    <t xml:space="preserve">Eight checks added, 20 in all. The key lines of every sheet are now set in bold; the first files printed two asterisks in front of them instead.</t>
  </si>
  <si>
    <t xml:space="preserve">Workbook 3 of four. Bank Management, Julian R. Sterling, 2026. julianrsterling.com/franchise</t>
  </si>
  <si>
    <t xml:space="preserve">Inputs</t>
  </si>
  <si>
    <t xml:space="preserve">Sagebrook National Bank. Every shaded cell is yours to change; every other figure in this workbook follows.</t>
  </si>
  <si>
    <t xml:space="preserve">Amounts in thousands of dollars. The book's own figures are the values typed here, and the Checks sheet compares them line by line.</t>
  </si>
  <si>
    <t xml:space="preserve">The balance sheet, in thousands of dollars</t>
  </si>
  <si>
    <t xml:space="preserve">Cash and equivalents</t>
  </si>
  <si>
    <t xml:space="preserve">CASH</t>
  </si>
  <si>
    <t xml:space="preserve">Securities, available for sale</t>
  </si>
  <si>
    <t xml:space="preserve">AFS</t>
  </si>
  <si>
    <t xml:space="preserve">Securities, held to maturity</t>
  </si>
  <si>
    <t xml:space="preserve">HTM</t>
  </si>
  <si>
    <t xml:space="preserve">Loans, fixed rate</t>
  </si>
  <si>
    <t xml:space="preserve">LOANS_FIX</t>
  </si>
  <si>
    <t xml:space="preserve">Loans, floating rate</t>
  </si>
  <si>
    <t xml:space="preserve">LOANS_FLT</t>
  </si>
  <si>
    <t xml:space="preserve">Other assets</t>
  </si>
  <si>
    <t xml:space="preserve">OTHER_ASSETS</t>
  </si>
  <si>
    <t xml:space="preserve">   of which goodwill</t>
  </si>
  <si>
    <t xml:space="preserve">GOODWILL</t>
  </si>
  <si>
    <t xml:space="preserve">Deposits, non-interest-bearing</t>
  </si>
  <si>
    <t xml:space="preserve">DEP_NIB</t>
  </si>
  <si>
    <t xml:space="preserve">Deposits, savings and interest-bearing</t>
  </si>
  <si>
    <t xml:space="preserve">DEP_SAV</t>
  </si>
  <si>
    <t xml:space="preserve">Deposits, time</t>
  </si>
  <si>
    <t xml:space="preserve">DEP_TIME</t>
  </si>
  <si>
    <t xml:space="preserve">FHLB advances</t>
  </si>
  <si>
    <t xml:space="preserve">FHLB</t>
  </si>
  <si>
    <t xml:space="preserve">Subordinated debt</t>
  </si>
  <si>
    <t xml:space="preserve">SUBDEBT</t>
  </si>
  <si>
    <t xml:space="preserve">Other liabilities</t>
  </si>
  <si>
    <t xml:space="preserve">OTHER_LIAB</t>
  </si>
  <si>
    <t xml:space="preserve">Common equity, opening</t>
  </si>
  <si>
    <t xml:space="preserve">EQUITY</t>
  </si>
  <si>
    <t xml:space="preserve">Rates</t>
  </si>
  <si>
    <t xml:space="preserve">Market rate, year 0</t>
  </si>
  <si>
    <t xml:space="preserve">MKT0</t>
  </si>
  <si>
    <t xml:space="preserve">Rate shock over the year</t>
  </si>
  <si>
    <t xml:space="preserve">SHOCK</t>
  </si>
  <si>
    <t xml:space="preserve">Yield on cash</t>
  </si>
  <si>
    <t xml:space="preserve">Y_CASH</t>
  </si>
  <si>
    <t xml:space="preserve">Yield on available-for-sale securities</t>
  </si>
  <si>
    <t xml:space="preserve">Y_AFS</t>
  </si>
  <si>
    <t xml:space="preserve">Yield on held-to-maturity securities</t>
  </si>
  <si>
    <t xml:space="preserve">Y_HTM</t>
  </si>
  <si>
    <t xml:space="preserve">Yield on fixed-rate loans</t>
  </si>
  <si>
    <t xml:space="preserve">Y_FIX</t>
  </si>
  <si>
    <t xml:space="preserve">Spread over the index on floating loans</t>
  </si>
  <si>
    <t xml:space="preserve">SPREAD_FLT</t>
  </si>
  <si>
    <t xml:space="preserve">Cost of savings deposits, year 0</t>
  </si>
  <si>
    <t xml:space="preserve">C_SAV</t>
  </si>
  <si>
    <t xml:space="preserve">Cost of time deposits, year 0</t>
  </si>
  <si>
    <t xml:space="preserve">C_TIME</t>
  </si>
  <si>
    <t xml:space="preserve">Cost of FHLB advances, year 0</t>
  </si>
  <si>
    <t xml:space="preserve">C_FHLB</t>
  </si>
  <si>
    <t xml:space="preserve">Cost of subordinated debt</t>
  </si>
  <si>
    <t xml:space="preserve">C_SUB</t>
  </si>
  <si>
    <t xml:space="preserve">Behaviour and price sensitivity</t>
  </si>
  <si>
    <t xml:space="preserve">Duration, available for sale</t>
  </si>
  <si>
    <t xml:space="preserve">DUR_AFS</t>
  </si>
  <si>
    <t xml:space="preserve">Duration, held to maturity</t>
  </si>
  <si>
    <t xml:space="preserve">DUR_HTM</t>
  </si>
  <si>
    <t xml:space="preserve">Duration, fixed-rate loans</t>
  </si>
  <si>
    <t xml:space="preserve">DUR_FIX</t>
  </si>
  <si>
    <t xml:space="preserve">Convexity, available for sale</t>
  </si>
  <si>
    <t xml:space="preserve">CVX_AFS</t>
  </si>
  <si>
    <t xml:space="preserve">Convexity, held to maturity</t>
  </si>
  <si>
    <t xml:space="preserve">CVX_HTM</t>
  </si>
  <si>
    <t xml:space="preserve">Convexity, fixed-rate loans</t>
  </si>
  <si>
    <t xml:space="preserve">CVX_FIX</t>
  </si>
  <si>
    <t xml:space="preserve">Duration, time deposits</t>
  </si>
  <si>
    <t xml:space="preserve">DUR_TIME</t>
  </si>
  <si>
    <t xml:space="preserve">Assumed life of non-maturity deposits, years</t>
  </si>
  <si>
    <t xml:space="preserve">DEP_LIFE</t>
  </si>
  <si>
    <t xml:space="preserve">Deposit beta, savings</t>
  </si>
  <si>
    <t xml:space="preserve">BETA_SAV</t>
  </si>
  <si>
    <t xml:space="preserve">Deposit beta, time deposits</t>
  </si>
  <si>
    <t xml:space="preserve">BETA_TIME</t>
  </si>
  <si>
    <t xml:space="preserve">Tax rate</t>
  </si>
  <si>
    <t xml:space="preserve">TAX</t>
  </si>
  <si>
    <t xml:space="preserve">The year's profit, and capital</t>
  </si>
  <si>
    <t xml:space="preserve">Operating expenses</t>
  </si>
  <si>
    <t xml:space="preserve">OPEX</t>
  </si>
  <si>
    <t xml:space="preserve">Fee and other income</t>
  </si>
  <si>
    <t xml:space="preserve">FEES</t>
  </si>
  <si>
    <t xml:space="preserve">Provision for credit losses</t>
  </si>
  <si>
    <t xml:space="preserve">PROVISION</t>
  </si>
  <si>
    <t xml:space="preserve">Dividends paid</t>
  </si>
  <si>
    <t xml:space="preserve">DIVIDEND</t>
  </si>
  <si>
    <t xml:space="preserve">Risk-weighted assets, opening</t>
  </si>
  <si>
    <t xml:space="preserve">RWA0</t>
  </si>
  <si>
    <t xml:space="preserve">Risk-weighted assets, year end</t>
  </si>
  <si>
    <t xml:space="preserve">RWA1</t>
  </si>
  <si>
    <t xml:space="preserve">Opening AOCI, gross of tax</t>
  </si>
  <si>
    <t xml:space="preserve">AOCI0</t>
  </si>
  <si>
    <t xml:space="preserve">Liquidity</t>
  </si>
  <si>
    <t xml:space="preserve">Share of deposits above the insurance limit</t>
  </si>
  <si>
    <t xml:space="preserve">UNINS_SHARE</t>
  </si>
  <si>
    <t xml:space="preserve">Haircut on pledged AFS securities</t>
  </si>
  <si>
    <t xml:space="preserve">HAIRCUT_AFS</t>
  </si>
  <si>
    <t xml:space="preserve">Haircut on pledged HTM securities</t>
  </si>
  <si>
    <t xml:space="preserve">HAIRCUT_HTM</t>
  </si>
  <si>
    <t xml:space="preserve">Total FHLB borrowing capacity</t>
  </si>
  <si>
    <t xml:space="preserve">FHLB_CAP</t>
  </si>
  <si>
    <t xml:space="preserve">Deposit outflow, slow scenario, per day</t>
  </si>
  <si>
    <t xml:space="preserve">OUT_SLOW</t>
  </si>
  <si>
    <t xml:space="preserve">Deposit outflow, fast scenario, per day</t>
  </si>
  <si>
    <t xml:space="preserve">OUT_FAST</t>
  </si>
  <si>
    <t xml:space="preserve">Well-capitalized CET1 threshold</t>
  </si>
  <si>
    <t xml:space="preserve">WELLCAP</t>
  </si>
  <si>
    <t xml:space="preserve">Funds transfer pricing</t>
  </si>
  <si>
    <t xml:space="preserve">Internal curve, per year of duration</t>
  </si>
  <si>
    <t xml:space="preserve">FTP_SLOPE</t>
  </si>
  <si>
    <t xml:space="preserve">Internal curve, flat beyond this duration</t>
  </si>
  <si>
    <t xml:space="preserve">FTP_MAXDUR</t>
  </si>
  <si>
    <t xml:space="preserve">Duration, FHLB advances</t>
  </si>
  <si>
    <t xml:space="preserve">DUR_FHLB</t>
  </si>
  <si>
    <t xml:space="preserve">Duration, subordinated debt</t>
  </si>
  <si>
    <t xml:space="preserve">DUR_SUB</t>
  </si>
  <si>
    <t xml:space="preserve">Share of expenses charged to deposit gathering</t>
  </si>
  <si>
    <t xml:space="preserve">OPEX_DEP</t>
  </si>
  <si>
    <t xml:space="preserve">The floating book, as written</t>
  </si>
  <si>
    <t xml:space="preserve">Share of floating loans carrying a floor</t>
  </si>
  <si>
    <t xml:space="preserve">FLOOR_SHARE</t>
  </si>
  <si>
    <t xml:space="preserve">Average level of that floor</t>
  </si>
  <si>
    <t xml:space="preserve">FLOOR_LVL</t>
  </si>
  <si>
    <t xml:space="preserve">Share of floating loans resetting annually</t>
  </si>
  <si>
    <t xml:space="preserve">RESET_SHARE</t>
  </si>
  <si>
    <t xml:space="preserve">Average lag to the next reset, years</t>
  </si>
  <si>
    <t xml:space="preserve">RESET_LAG</t>
  </si>
  <si>
    <t xml:space="preserve">A deposit beta to test the year's profit against</t>
  </si>
  <si>
    <t xml:space="preserve">BETA_TEST</t>
  </si>
  <si>
    <t xml:space="preserve">What a buyer would pay</t>
  </si>
  <si>
    <t xml:space="preserve">Amortization life of the deposit intangible, years</t>
  </si>
  <si>
    <t xml:space="preserve">CDI_LIFE</t>
  </si>
  <si>
    <t xml:space="preserve">Two totals, so that an edit that unbalances the balance sheet is visible</t>
  </si>
  <si>
    <t xml:space="preserve">Total assets</t>
  </si>
  <si>
    <t xml:space="preserve">Total liabilities and equity</t>
  </si>
  <si>
    <t xml:space="preserve">Difference — must be zero</t>
  </si>
  <si>
    <t xml:space="preserve">If this is not zero the balance sheet does not balance, and nothing downstream means anything.</t>
  </si>
  <si>
    <t xml:space="preserve">The repricing gap</t>
  </si>
  <si>
    <t xml:space="preserve">Weighted by behaviour, not by contract.</t>
  </si>
  <si>
    <t xml:space="preserve">The repricing gap, weighted by behaviour</t>
  </si>
  <si>
    <t xml:space="preserve">Assets that reprice within the year</t>
  </si>
  <si>
    <t xml:space="preserve">Liabilities that reprice, weighted by their betas</t>
  </si>
  <si>
    <t xml:space="preserve">Weighted gap</t>
  </si>
  <si>
    <t xml:space="preserve">What the gap predicts for the margin</t>
  </si>
  <si>
    <t xml:space="preserve">What the margin actually did</t>
  </si>
  <si>
    <t xml:space="preserve">The deposit beta, measured two ways</t>
  </si>
  <si>
    <t xml:space="preserve">On all non-maturity deposits</t>
  </si>
  <si>
    <t xml:space="preserve">On the interest-bearing book alone</t>
  </si>
  <si>
    <t xml:space="preserve">The two differ by</t>
  </si>
  <si>
    <t xml:space="preserve">The beta that erases the year</t>
  </si>
  <si>
    <t xml:space="preserve">Beta at which pre-tax income reaches zero</t>
  </si>
  <si>
    <t xml:space="preserve">What the tested beta costs</t>
  </si>
  <si>
    <t xml:space="preserve">Pre-tax income at the tested beta</t>
  </si>
  <si>
    <t xml:space="preserve">The marks</t>
  </si>
  <si>
    <t xml:space="preserve">Duration and convexity, portfolio by portfolio.</t>
  </si>
  <si>
    <t xml:space="preserve">Price change under the shock, duration and convexity</t>
  </si>
  <si>
    <t xml:space="preserve">Price change, available for sale</t>
  </si>
  <si>
    <t xml:space="preserve">Price change, held to maturity</t>
  </si>
  <si>
    <t xml:space="preserve">Price change, fixed-rate loans</t>
  </si>
  <si>
    <t xml:space="preserve">The marks, gross and net of tax</t>
  </si>
  <si>
    <t xml:space="preserve">Available for sale, gross</t>
  </si>
  <si>
    <t xml:space="preserve">Held to maturity, gross</t>
  </si>
  <si>
    <t xml:space="preserve">Fixed-rate loans, gross</t>
  </si>
  <si>
    <t xml:space="preserve">Available for sale, net of tax</t>
  </si>
  <si>
    <t xml:space="preserve">Held to maturity, net of tax</t>
  </si>
  <si>
    <t xml:space="preserve">Fixed-rate loans, net of tax</t>
  </si>
  <si>
    <t xml:space="preserve">Time deposits, net of tax (a liability losing value is a gain)</t>
  </si>
  <si>
    <t xml:space="preserve">Deposit franchise, net of tax</t>
  </si>
  <si>
    <t xml:space="preserve">The margin</t>
  </si>
  <si>
    <t xml:space="preserve">Needed for the gap and for the capital.</t>
  </si>
  <si>
    <t xml:space="preserve">The margin, year 0</t>
  </si>
  <si>
    <t xml:space="preserve">Yield on floating loans, year 0</t>
  </si>
  <si>
    <t xml:space="preserve">Interest income, year 0</t>
  </si>
  <si>
    <t xml:space="preserve">Interest expense, year 0</t>
  </si>
  <si>
    <t xml:space="preserve">Net interest income, year 0</t>
  </si>
  <si>
    <t xml:space="preserve">Earning assets</t>
  </si>
  <si>
    <t xml:space="preserve">Net interest margin, year 0</t>
  </si>
  <si>
    <t xml:space="preserve">The margin, year 1 — the shock year</t>
  </si>
  <si>
    <t xml:space="preserve">Yield on floating loans, year 1</t>
  </si>
  <si>
    <t xml:space="preserve">Cost of savings deposits, year 1</t>
  </si>
  <si>
    <t xml:space="preserve">Cost of time deposits, year 1</t>
  </si>
  <si>
    <t xml:space="preserve">Cost of FHLB advances, year 1</t>
  </si>
  <si>
    <t xml:space="preserve">Interest income, year 1</t>
  </si>
  <si>
    <t xml:space="preserve">Interest expense, year 1</t>
  </si>
  <si>
    <t xml:space="preserve">Net interest income, year 1</t>
  </si>
  <si>
    <t xml:space="preserve">Net interest margin, year 1</t>
  </si>
  <si>
    <t xml:space="preserve">The year's profit</t>
  </si>
  <si>
    <t xml:space="preserve">Pre-tax income</t>
  </si>
  <si>
    <t xml:space="preserve">Net income</t>
  </si>
  <si>
    <t xml:space="preserve">Retained</t>
  </si>
  <si>
    <t xml:space="preserve">The economic value of equity</t>
  </si>
  <si>
    <t xml:space="preserve">Everything marked, franchise included.</t>
  </si>
  <si>
    <t xml:space="preserve">The four readings</t>
  </si>
  <si>
    <t xml:space="preserve">Opening AOCI, net of tax</t>
  </si>
  <si>
    <t xml:space="preserve">CET1, opening</t>
  </si>
  <si>
    <t xml:space="preserve">Book common equity, year end</t>
  </si>
  <si>
    <t xml:space="preserve">Reading 1 — published CET1</t>
  </si>
  <si>
    <t xml:space="preserve">Reading 2 — CET1 with the AFS mark recognised</t>
  </si>
  <si>
    <t xml:space="preserve">Total assets, year end</t>
  </si>
  <si>
    <t xml:space="preserve">Reading 3 — tangible common equity</t>
  </si>
  <si>
    <t xml:space="preserve">Tangible assets, both marks</t>
  </si>
  <si>
    <t xml:space="preserve">Reading 4 — economic value of equity</t>
  </si>
  <si>
    <t xml:space="preserve">Its denominator, tangible assets marked</t>
  </si>
  <si>
    <t xml:space="preserve">The same four, as ratios</t>
  </si>
  <si>
    <t xml:space="preserve">Reading 1, on risk-weighted assets</t>
  </si>
  <si>
    <t xml:space="preserve">Reading 2, on risk-weighted assets</t>
  </si>
  <si>
    <t xml:space="preserve">Reading 3, on tangible assets</t>
  </si>
  <si>
    <t xml:space="preserve">Reading 4, on its own denominator</t>
  </si>
  <si>
    <t xml:space="preserve">Reading 1 at the start of the year</t>
  </si>
  <si>
    <t xml:space="preserve">The distance between reading 1 and reading 3</t>
  </si>
  <si>
    <t xml:space="preserve">The price, being the fourth reading</t>
  </si>
  <si>
    <t xml:space="preserve">Core deposit intangible, as a share of core deposits</t>
  </si>
  <si>
    <t xml:space="preserve">Multiple of tangible common equity</t>
  </si>
  <si>
    <t xml:space="preserve">Discount to published capital</t>
  </si>
  <si>
    <t xml:space="preserve">Discount to book equity</t>
  </si>
  <si>
    <t xml:space="preserve">Annual amortization of the intangible</t>
  </si>
  <si>
    <t xml:space="preserve">That amortization, against the year's net income</t>
  </si>
  <si>
    <t xml:space="preserve">The surface, not the point</t>
  </si>
  <si>
    <t xml:space="preserve">Economic value of equity as a function of the two assumptions that produce it: how long non-maturity deposits stay, and how much of a rate rise they are paid.</t>
  </si>
  <si>
    <t xml:space="preserve">The central cell is the case. The corners are equally defensible: economic equity runs from 608,716 to minus 44,722, and the franchise inside it differs by a factor of 6.86 between them. The book's position is that the surface is the finding and the point is not.</t>
  </si>
  <si>
    <t xml:space="preserve">Assumed deposit life, years</t>
  </si>
  <si>
    <t xml:space="preserve">Read the row for the deposit life your own core system supports, and the column for the beta your own repricing history shows. If you cannot source either, that is the finding.</t>
  </si>
  <si>
    <t xml:space="preserve">The corners</t>
  </si>
  <si>
    <t xml:space="preserve">The franchise at the generous corner</t>
  </si>
  <si>
    <t xml:space="preserve">The franchise at the severe corner</t>
  </si>
  <si>
    <t xml:space="preserve">The one over the other</t>
  </si>
  <si>
    <t xml:space="preserve">Economic equity, generous corner less severe corner</t>
  </si>
  <si>
    <t xml:space="preserve">Two horizons</t>
  </si>
  <si>
    <t xml:space="preserve">Earnings sensitivity and value sensitivity, on the same shocks. They answer different questions and they are not the same size.</t>
  </si>
  <si>
    <t xml:space="preserve">Rate move</t>
  </si>
  <si>
    <t xml:space="preserve">Change in net interest income</t>
  </si>
  <si>
    <t xml:space="preserve">Change in economic value</t>
  </si>
  <si>
    <t xml:space="preserve">Ratio</t>
  </si>
  <si>
    <t xml:space="preserve">Change in net interest income, after tax</t>
  </si>
  <si>
    <t xml:space="preserve">Ratio, same tax basis</t>
  </si>
  <si>
    <t xml:space="preserve">-100 bp</t>
  </si>
  <si>
    <t xml:space="preserve">+100 bp</t>
  </si>
  <si>
    <t xml:space="preserve">+200 bp</t>
  </si>
  <si>
    <t xml:space="preserve">+300 bp</t>
  </si>
  <si>
    <t xml:space="preserve">+400 bp</t>
  </si>
  <si>
    <t xml:space="preserve">Quadrupling the 100 bp value figure overstates the 400 bp answer by</t>
  </si>
  <si>
    <t xml:space="preserve">At 100 bp, value over earnings with both after tax</t>
  </si>
  <si>
    <t xml:space="preserve">The earnings column is exactly linear: it is a gap multiplied by a rate. The value column is not, because of convexity, which is the only mechanically good news in this book and it is not much.</t>
  </si>
  <si>
    <t xml:space="preserve">Column D sets a value change after tax against an earnings change before tax, which is how the two are usually printed side by side. Column F puts both after tax.</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</si>
  <si>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</si>
  <si>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</si>
  <si>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</si>
  <si>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</si>
  <si>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</si>
  <si>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</si>
  <si>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</si>
  <si>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</si>
  <si>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</si>
  <si>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7</t>
  </si>
  <si>
    <t xml:space="preserve">The weighted repricing gap</t>
  </si>
  <si>
    <t xml:space="preserve">9</t>
  </si>
  <si>
    <t xml:space="preserve">The deposit franchise, net of tax</t>
  </si>
  <si>
    <t xml:space="preserve">Economic value of equity</t>
  </si>
  <si>
    <t xml:space="preserve">11</t>
  </si>
  <si>
    <t xml:space="preserve">Change in net interest income at 100 bp</t>
  </si>
  <si>
    <t xml:space="preserve">Change in economic value at 100 bp</t>
  </si>
  <si>
    <t xml:space="preserve">16</t>
  </si>
  <si>
    <t xml:space="preserve">That amortization, against net income</t>
  </si>
  <si>
    <t xml:space="preserve">The surface, generous corner: 6.0 years, beta 20 per cent</t>
  </si>
  <si>
    <t xml:space="preserve">The surface, severe corner: 2.0 years, beta 65 per cent</t>
  </si>
  <si>
    <t xml:space="preserve">The surface at the case, 4.2 years and 35 per cent, is the fourth reading</t>
  </si>
  <si>
    <t xml:space="preserve">The franchise, generous corner over severe (revised: not the equity, which has no ratio)</t>
  </si>
  <si>
    <t xml:space="preserve">Value over earnings at 100 bp, as printed: after tax over before tax</t>
  </si>
  <si>
    <t xml:space="preserve">Value over earnings at 100 bp, both after tax (revised)</t>
  </si>
  <si>
    <t xml:space="preserve">Price as a multiple of tangible common equity</t>
  </si>
  <si>
    <t xml:space="preserve">Checks that pass</t>
  </si>
  <si>
    <t xml:space="preserve">Checks that fail</t>
  </si>
</sst>
</file>

<file path=xl/styles.xml><?xml version="1.0" encoding="utf-8"?>
<styleSheet xmlns="http://schemas.openxmlformats.org/spreadsheetml/2006/main">
  <numFmts count="13">
    <numFmt numFmtId="164" formatCode="General"/>
    <numFmt numFmtId="165" formatCode="#,##0;\-#,##0"/>
    <numFmt numFmtId="166" formatCode="0.00%;\-0.00%"/>
    <numFmt numFmtId="167" formatCode="0.00"/>
    <numFmt numFmtId="168" formatCode="0.00\x"/>
    <numFmt numFmtId="169" formatCode="&quot;Beta &quot;0%"/>
    <numFmt numFmtId="170" formatCode="0.0"/>
    <numFmt numFmtId="171" formatCode="#,##0.00;\-#,##0.00"/>
    <numFmt numFmtId="172" formatCode="0.00000000"/>
    <numFmt numFmtId="173" formatCode="@"/>
    <numFmt numFmtId="174" formatCode="0.0000%;\-0.0000%"/>
    <numFmt numFmtId="175" formatCode="0.000000"/>
    <numFmt numFmtId="176" formatCode="0"/>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i val="true"/>
      <sz val="9"/>
      <color rgb="FF5A6A70"/>
      <name val="Calibri"/>
      <family val="0"/>
      <charset val="1"/>
    </font>
    <font>
      <b val="true"/>
      <sz val="11"/>
      <color rgb="FF0B4FA0"/>
      <name val="Calibri"/>
      <family val="0"/>
      <charset val="1"/>
    </font>
    <font>
      <sz val="9"/>
      <color rgb="FF9AA6AC"/>
      <name val="Consolas"/>
      <family val="0"/>
      <charset val="1"/>
    </font>
    <font>
      <b val="true"/>
      <sz val="11"/>
      <color rgb="FF1A1A1A"/>
      <name val="Calibri"/>
      <family val="0"/>
      <charset val="1"/>
    </font>
    <font>
      <b val="true"/>
      <sz val="10"/>
      <color rgb="FFFFFFFF"/>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9"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9" fillId="2" borderId="3" xfId="0" applyFont="true" applyBorder="true" applyAlignment="false" applyProtection="false">
      <alignment horizontal="general" vertical="bottom" textRotation="0" wrapText="false" indent="0" shrinkToFit="false"/>
      <protection locked="true" hidden="false"/>
    </xf>
    <xf numFmtId="167" fontId="9" fillId="2" borderId="3"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4" fontId="12" fillId="3" borderId="3" xfId="0" applyFont="true" applyBorder="true" applyAlignment="true" applyProtection="false">
      <alignment horizontal="left" vertical="center" textRotation="0" wrapText="true" indent="0" shrinkToFit="false"/>
      <protection locked="true" hidden="false"/>
    </xf>
    <xf numFmtId="169" fontId="12" fillId="3" borderId="3" xfId="0" applyFont="true" applyBorder="true" applyAlignment="true" applyProtection="false">
      <alignment horizontal="right" vertical="center" textRotation="0" wrapText="true" indent="0" shrinkToFit="false"/>
      <protection locked="true" hidden="false"/>
    </xf>
    <xf numFmtId="170" fontId="7" fillId="0" borderId="0" xfId="0" applyFont="true" applyBorder="false" applyAlignment="true" applyProtection="false">
      <alignment horizontal="left" vertical="center" textRotation="0" wrapText="true" indent="0" shrinkToFit="false"/>
      <protection locked="true" hidden="false"/>
    </xf>
    <xf numFmtId="170" fontId="7" fillId="4" borderId="0" xfId="0" applyFont="true" applyBorder="false" applyAlignment="true" applyProtection="false">
      <alignment horizontal="left" vertical="center" textRotation="0" wrapText="tru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4" fontId="12" fillId="3" borderId="3" xfId="0" applyFont="true" applyBorder="true" applyAlignment="true" applyProtection="false">
      <alignment horizontal="right" vertical="center" textRotation="0" wrapText="tru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3" fontId="11"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6"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AA6AC"/>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60" hidden="false" customHeight="true" outlineLevel="0" collapsed="false">
      <c r="A9" s="5" t="s">
        <v>4</v>
      </c>
    </row>
    <row r="11" customFormat="false" ht="15" hidden="false" customHeight="false" outlineLevel="0" collapsed="false">
      <c r="A11" s="4" t="s">
        <v>5</v>
      </c>
    </row>
    <row r="13" customFormat="false" ht="15" hidden="false" customHeight="true" outlineLevel="0" collapsed="false">
      <c r="A13" s="5" t="s">
        <v>6</v>
      </c>
    </row>
    <row r="14" customFormat="false" ht="15" hidden="false" customHeight="true" outlineLevel="0" collapsed="false">
      <c r="A14" s="5" t="s">
        <v>7</v>
      </c>
    </row>
    <row r="15" customFormat="false" ht="15" hidden="false" customHeight="true" outlineLevel="0" collapsed="false">
      <c r="A15" s="5" t="s">
        <v>8</v>
      </c>
    </row>
    <row r="16" customFormat="false" ht="15" hidden="false" customHeight="true" outlineLevel="0" collapsed="false">
      <c r="A16" s="5" t="s">
        <v>9</v>
      </c>
    </row>
    <row r="17" customFormat="false" ht="15" hidden="false" customHeight="true" outlineLevel="0" collapsed="false">
      <c r="A17" s="5" t="s">
        <v>10</v>
      </c>
    </row>
    <row r="18" customFormat="false" ht="15" hidden="false" customHeight="true" outlineLevel="0" collapsed="false">
      <c r="A18" s="5" t="s">
        <v>11</v>
      </c>
    </row>
    <row r="20" customFormat="false" ht="15" hidden="false" customHeight="false" outlineLevel="0" collapsed="false">
      <c r="A20" s="4" t="s">
        <v>12</v>
      </c>
    </row>
    <row r="22" customFormat="false" ht="60" hidden="false" customHeight="true" outlineLevel="0" collapsed="false">
      <c r="A22" s="5" t="s">
        <v>13</v>
      </c>
    </row>
    <row r="24" customFormat="false" ht="45" hidden="false" customHeight="true" outlineLevel="0" collapsed="false">
      <c r="A24" s="5" t="s">
        <v>14</v>
      </c>
    </row>
    <row r="26" customFormat="false" ht="15" hidden="false" customHeight="false" outlineLevel="0" collapsed="false">
      <c r="A26" s="4" t="s">
        <v>15</v>
      </c>
    </row>
    <row r="28" customFormat="false" ht="45" hidden="false" customHeight="true" outlineLevel="0" collapsed="false">
      <c r="A28" s="5" t="s">
        <v>16</v>
      </c>
    </row>
    <row r="30" customFormat="false" ht="15" hidden="false" customHeight="false" outlineLevel="0" collapsed="false">
      <c r="A30" s="4" t="s">
        <v>17</v>
      </c>
    </row>
    <row r="32" customFormat="false" ht="60" hidden="false" customHeight="true" outlineLevel="0" collapsed="false">
      <c r="A32" s="5" t="s">
        <v>18</v>
      </c>
    </row>
    <row r="34" customFormat="false" ht="45" hidden="false" customHeight="true" outlineLevel="0" collapsed="false">
      <c r="A34" s="5" t="s">
        <v>19</v>
      </c>
    </row>
    <row r="36" customFormat="false" ht="30" hidden="false" customHeight="true" outlineLevel="0" collapsed="false">
      <c r="A36" s="5" t="s">
        <v>20</v>
      </c>
    </row>
    <row r="38" customFormat="false" ht="15" hidden="false" customHeight="true" outlineLevel="0" collapsed="false">
      <c r="A38" s="6"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60"/>
  </cols>
  <sheetData>
    <row r="1" customFormat="false" ht="24" hidden="false" customHeight="true" outlineLevel="0" collapsed="false">
      <c r="A1" s="1" t="s">
        <v>22</v>
      </c>
    </row>
    <row r="2" customFormat="false" ht="15" hidden="false" customHeight="false" outlineLevel="0" collapsed="false">
      <c r="A2" s="2" t="s">
        <v>23</v>
      </c>
    </row>
    <row r="3" customFormat="false" ht="15" hidden="false" customHeight="false" outlineLevel="0" collapsed="false">
      <c r="A3" s="3"/>
      <c r="B3" s="3"/>
      <c r="C3" s="3"/>
    </row>
    <row r="5" customFormat="false" ht="15" hidden="false" customHeight="false" outlineLevel="0" collapsed="false">
      <c r="A5" s="7" t="s">
        <v>24</v>
      </c>
    </row>
    <row r="7" customFormat="false" ht="15" hidden="false" customHeight="false" outlineLevel="0" collapsed="false">
      <c r="A7" s="4" t="s">
        <v>25</v>
      </c>
      <c r="B7" s="8"/>
      <c r="C7" s="8"/>
    </row>
    <row r="9" customFormat="false" ht="15" hidden="false" customHeight="false" outlineLevel="0" collapsed="false">
      <c r="A9" s="9" t="s">
        <v>26</v>
      </c>
      <c r="B9" s="10" t="n">
        <v>420000</v>
      </c>
      <c r="C9" s="11" t="s">
        <v>27</v>
      </c>
    </row>
    <row r="10" customFormat="false" ht="15" hidden="false" customHeight="false" outlineLevel="0" collapsed="false">
      <c r="A10" s="9" t="s">
        <v>28</v>
      </c>
      <c r="B10" s="10" t="n">
        <v>1180000</v>
      </c>
      <c r="C10" s="11" t="s">
        <v>29</v>
      </c>
    </row>
    <row r="11" customFormat="false" ht="15" hidden="false" customHeight="false" outlineLevel="0" collapsed="false">
      <c r="A11" s="9" t="s">
        <v>30</v>
      </c>
      <c r="B11" s="10" t="n">
        <v>1640000</v>
      </c>
      <c r="C11" s="11" t="s">
        <v>31</v>
      </c>
    </row>
    <row r="12" customFormat="false" ht="15" hidden="false" customHeight="false" outlineLevel="0" collapsed="false">
      <c r="A12" s="9" t="s">
        <v>32</v>
      </c>
      <c r="B12" s="10" t="n">
        <v>2850000</v>
      </c>
      <c r="C12" s="11" t="s">
        <v>33</v>
      </c>
    </row>
    <row r="13" customFormat="false" ht="15" hidden="false" customHeight="false" outlineLevel="0" collapsed="false">
      <c r="A13" s="9" t="s">
        <v>34</v>
      </c>
      <c r="B13" s="10" t="n">
        <v>1610000</v>
      </c>
      <c r="C13" s="11" t="s">
        <v>35</v>
      </c>
    </row>
    <row r="14" customFormat="false" ht="15" hidden="false" customHeight="false" outlineLevel="0" collapsed="false">
      <c r="A14" s="9" t="s">
        <v>36</v>
      </c>
      <c r="B14" s="10" t="n">
        <v>300000</v>
      </c>
      <c r="C14" s="11" t="s">
        <v>37</v>
      </c>
    </row>
    <row r="15" customFormat="false" ht="15" hidden="false" customHeight="false" outlineLevel="0" collapsed="false">
      <c r="A15" s="9" t="s">
        <v>38</v>
      </c>
      <c r="B15" s="10" t="n">
        <v>48000</v>
      </c>
      <c r="C15" s="11" t="s">
        <v>39</v>
      </c>
    </row>
    <row r="16" customFormat="false" ht="15" hidden="false" customHeight="false" outlineLevel="0" collapsed="false">
      <c r="A16" s="9" t="s">
        <v>40</v>
      </c>
      <c r="B16" s="10" t="n">
        <v>1760000</v>
      </c>
      <c r="C16" s="11" t="s">
        <v>41</v>
      </c>
    </row>
    <row r="17" customFormat="false" ht="15" hidden="false" customHeight="false" outlineLevel="0" collapsed="false">
      <c r="A17" s="9" t="s">
        <v>42</v>
      </c>
      <c r="B17" s="10" t="n">
        <v>3240000</v>
      </c>
      <c r="C17" s="11" t="s">
        <v>43</v>
      </c>
    </row>
    <row r="18" customFormat="false" ht="15" hidden="false" customHeight="false" outlineLevel="0" collapsed="false">
      <c r="A18" s="9" t="s">
        <v>44</v>
      </c>
      <c r="B18" s="10" t="n">
        <v>1480000</v>
      </c>
      <c r="C18" s="11" t="s">
        <v>45</v>
      </c>
    </row>
    <row r="19" customFormat="false" ht="15" hidden="false" customHeight="false" outlineLevel="0" collapsed="false">
      <c r="A19" s="9" t="s">
        <v>46</v>
      </c>
      <c r="B19" s="10" t="n">
        <v>620000</v>
      </c>
      <c r="C19" s="11" t="s">
        <v>47</v>
      </c>
    </row>
    <row r="20" customFormat="false" ht="15" hidden="false" customHeight="false" outlineLevel="0" collapsed="false">
      <c r="A20" s="9" t="s">
        <v>48</v>
      </c>
      <c r="B20" s="10" t="n">
        <v>150000</v>
      </c>
      <c r="C20" s="11" t="s">
        <v>49</v>
      </c>
    </row>
    <row r="21" customFormat="false" ht="15" hidden="false" customHeight="false" outlineLevel="0" collapsed="false">
      <c r="A21" s="9" t="s">
        <v>50</v>
      </c>
      <c r="B21" s="10" t="n">
        <v>90000</v>
      </c>
      <c r="C21" s="11" t="s">
        <v>51</v>
      </c>
    </row>
    <row r="22" customFormat="false" ht="15" hidden="false" customHeight="false" outlineLevel="0" collapsed="false">
      <c r="A22" s="9" t="s">
        <v>52</v>
      </c>
      <c r="B22" s="10" t="n">
        <v>660000</v>
      </c>
      <c r="C22" s="11" t="s">
        <v>53</v>
      </c>
    </row>
    <row r="23" customFormat="false" ht="15" hidden="false" customHeight="false" outlineLevel="0" collapsed="false">
      <c r="A23" s="4" t="s">
        <v>54</v>
      </c>
      <c r="B23" s="8"/>
      <c r="C23" s="8"/>
    </row>
    <row r="25" customFormat="false" ht="15" hidden="false" customHeight="false" outlineLevel="0" collapsed="false">
      <c r="A25" s="9" t="s">
        <v>55</v>
      </c>
      <c r="B25" s="12" t="n">
        <v>0.0155</v>
      </c>
      <c r="C25" s="11" t="s">
        <v>56</v>
      </c>
    </row>
    <row r="26" customFormat="false" ht="15" hidden="false" customHeight="false" outlineLevel="0" collapsed="false">
      <c r="A26" s="9" t="s">
        <v>57</v>
      </c>
      <c r="B26" s="12" t="n">
        <v>0.0425</v>
      </c>
      <c r="C26" s="11" t="s">
        <v>58</v>
      </c>
    </row>
    <row r="27" customFormat="false" ht="15" hidden="false" customHeight="false" outlineLevel="0" collapsed="false">
      <c r="A27" s="9" t="s">
        <v>59</v>
      </c>
      <c r="B27" s="12" t="n">
        <v>0.0155</v>
      </c>
      <c r="C27" s="11" t="s">
        <v>60</v>
      </c>
    </row>
    <row r="28" customFormat="false" ht="15" hidden="false" customHeight="false" outlineLevel="0" collapsed="false">
      <c r="A28" s="9" t="s">
        <v>61</v>
      </c>
      <c r="B28" s="12" t="n">
        <v>0.0172</v>
      </c>
      <c r="C28" s="11" t="s">
        <v>62</v>
      </c>
    </row>
    <row r="29" customFormat="false" ht="15" hidden="false" customHeight="false" outlineLevel="0" collapsed="false">
      <c r="A29" s="9" t="s">
        <v>63</v>
      </c>
      <c r="B29" s="12" t="n">
        <v>0.0194</v>
      </c>
      <c r="C29" s="11" t="s">
        <v>64</v>
      </c>
    </row>
    <row r="30" customFormat="false" ht="15" hidden="false" customHeight="false" outlineLevel="0" collapsed="false">
      <c r="A30" s="9" t="s">
        <v>65</v>
      </c>
      <c r="B30" s="12" t="n">
        <v>0.0435</v>
      </c>
      <c r="C30" s="11" t="s">
        <v>66</v>
      </c>
    </row>
    <row r="31" customFormat="false" ht="15" hidden="false" customHeight="false" outlineLevel="0" collapsed="false">
      <c r="A31" s="9" t="s">
        <v>67</v>
      </c>
      <c r="B31" s="12" t="n">
        <v>0.024</v>
      </c>
      <c r="C31" s="11" t="s">
        <v>68</v>
      </c>
    </row>
    <row r="32" customFormat="false" ht="15" hidden="false" customHeight="false" outlineLevel="0" collapsed="false">
      <c r="A32" s="9" t="s">
        <v>69</v>
      </c>
      <c r="B32" s="12" t="n">
        <v>0.0018</v>
      </c>
      <c r="C32" s="11" t="s">
        <v>70</v>
      </c>
    </row>
    <row r="33" customFormat="false" ht="15" hidden="false" customHeight="false" outlineLevel="0" collapsed="false">
      <c r="A33" s="9" t="s">
        <v>71</v>
      </c>
      <c r="B33" s="12" t="n">
        <v>0.0085</v>
      </c>
      <c r="C33" s="11" t="s">
        <v>72</v>
      </c>
    </row>
    <row r="34" customFormat="false" ht="15" hidden="false" customHeight="false" outlineLevel="0" collapsed="false">
      <c r="A34" s="9" t="s">
        <v>73</v>
      </c>
      <c r="B34" s="12" t="n">
        <v>0.0135</v>
      </c>
      <c r="C34" s="11" t="s">
        <v>74</v>
      </c>
    </row>
    <row r="35" customFormat="false" ht="15" hidden="false" customHeight="false" outlineLevel="0" collapsed="false">
      <c r="A35" s="9" t="s">
        <v>75</v>
      </c>
      <c r="B35" s="12" t="n">
        <v>0.0525</v>
      </c>
      <c r="C35" s="11" t="s">
        <v>76</v>
      </c>
    </row>
    <row r="36" customFormat="false" ht="15" hidden="false" customHeight="false" outlineLevel="0" collapsed="false">
      <c r="A36" s="4" t="s">
        <v>77</v>
      </c>
      <c r="B36" s="8"/>
      <c r="C36" s="8"/>
    </row>
    <row r="38" customFormat="false" ht="15" hidden="false" customHeight="false" outlineLevel="0" collapsed="false">
      <c r="A38" s="9" t="s">
        <v>78</v>
      </c>
      <c r="B38" s="13" t="n">
        <v>4.6</v>
      </c>
      <c r="C38" s="11" t="s">
        <v>79</v>
      </c>
    </row>
    <row r="39" customFormat="false" ht="15" hidden="false" customHeight="false" outlineLevel="0" collapsed="false">
      <c r="A39" s="9" t="s">
        <v>80</v>
      </c>
      <c r="B39" s="13" t="n">
        <v>7.8</v>
      </c>
      <c r="C39" s="11" t="s">
        <v>81</v>
      </c>
    </row>
    <row r="40" customFormat="false" ht="15" hidden="false" customHeight="false" outlineLevel="0" collapsed="false">
      <c r="A40" s="9" t="s">
        <v>82</v>
      </c>
      <c r="B40" s="13" t="n">
        <v>3.9</v>
      </c>
      <c r="C40" s="11" t="s">
        <v>83</v>
      </c>
    </row>
    <row r="41" customFormat="false" ht="15" hidden="false" customHeight="false" outlineLevel="0" collapsed="false">
      <c r="A41" s="9" t="s">
        <v>84</v>
      </c>
      <c r="B41" s="13" t="n">
        <v>24</v>
      </c>
      <c r="C41" s="11" t="s">
        <v>85</v>
      </c>
    </row>
    <row r="42" customFormat="false" ht="15" hidden="false" customHeight="false" outlineLevel="0" collapsed="false">
      <c r="A42" s="9" t="s">
        <v>86</v>
      </c>
      <c r="B42" s="13" t="n">
        <v>71</v>
      </c>
      <c r="C42" s="11" t="s">
        <v>87</v>
      </c>
    </row>
    <row r="43" customFormat="false" ht="15" hidden="false" customHeight="false" outlineLevel="0" collapsed="false">
      <c r="A43" s="9" t="s">
        <v>88</v>
      </c>
      <c r="B43" s="13" t="n">
        <v>18</v>
      </c>
      <c r="C43" s="11" t="s">
        <v>89</v>
      </c>
    </row>
    <row r="44" customFormat="false" ht="15" hidden="false" customHeight="false" outlineLevel="0" collapsed="false">
      <c r="A44" s="9" t="s">
        <v>90</v>
      </c>
      <c r="B44" s="13" t="n">
        <v>0.9</v>
      </c>
      <c r="C44" s="11" t="s">
        <v>91</v>
      </c>
    </row>
    <row r="45" customFormat="false" ht="15" hidden="false" customHeight="false" outlineLevel="0" collapsed="false">
      <c r="A45" s="9" t="s">
        <v>92</v>
      </c>
      <c r="B45" s="13" t="n">
        <v>4.2</v>
      </c>
      <c r="C45" s="11" t="s">
        <v>93</v>
      </c>
    </row>
    <row r="46" customFormat="false" ht="15" hidden="false" customHeight="false" outlineLevel="0" collapsed="false">
      <c r="A46" s="9" t="s">
        <v>94</v>
      </c>
      <c r="B46" s="12" t="n">
        <v>0.35</v>
      </c>
      <c r="C46" s="11" t="s">
        <v>95</v>
      </c>
    </row>
    <row r="47" customFormat="false" ht="15" hidden="false" customHeight="false" outlineLevel="0" collapsed="false">
      <c r="A47" s="9" t="s">
        <v>96</v>
      </c>
      <c r="B47" s="12" t="n">
        <v>0.85</v>
      </c>
      <c r="C47" s="11" t="s">
        <v>97</v>
      </c>
    </row>
    <row r="48" customFormat="false" ht="15" hidden="false" customHeight="false" outlineLevel="0" collapsed="false">
      <c r="A48" s="9" t="s">
        <v>98</v>
      </c>
      <c r="B48" s="12" t="n">
        <v>0.25</v>
      </c>
      <c r="C48" s="11" t="s">
        <v>99</v>
      </c>
    </row>
    <row r="49" customFormat="false" ht="15" hidden="false" customHeight="false" outlineLevel="0" collapsed="false">
      <c r="A49" s="4" t="s">
        <v>100</v>
      </c>
      <c r="B49" s="8"/>
      <c r="C49" s="8"/>
    </row>
    <row r="51" customFormat="false" ht="15" hidden="false" customHeight="false" outlineLevel="0" collapsed="false">
      <c r="A51" s="9" t="s">
        <v>101</v>
      </c>
      <c r="B51" s="10" t="n">
        <v>148000</v>
      </c>
      <c r="C51" s="11" t="s">
        <v>102</v>
      </c>
    </row>
    <row r="52" customFormat="false" ht="15" hidden="false" customHeight="false" outlineLevel="0" collapsed="false">
      <c r="A52" s="9" t="s">
        <v>103</v>
      </c>
      <c r="B52" s="10" t="n">
        <v>41000</v>
      </c>
      <c r="C52" s="11" t="s">
        <v>104</v>
      </c>
    </row>
    <row r="53" customFormat="false" ht="15" hidden="false" customHeight="false" outlineLevel="0" collapsed="false">
      <c r="A53" s="9" t="s">
        <v>105</v>
      </c>
      <c r="B53" s="10" t="n">
        <v>26000</v>
      </c>
      <c r="C53" s="11" t="s">
        <v>106</v>
      </c>
    </row>
    <row r="54" customFormat="false" ht="15" hidden="false" customHeight="false" outlineLevel="0" collapsed="false">
      <c r="A54" s="9" t="s">
        <v>107</v>
      </c>
      <c r="B54" s="10" t="n">
        <v>18000</v>
      </c>
      <c r="C54" s="11" t="s">
        <v>108</v>
      </c>
    </row>
    <row r="55" customFormat="false" ht="15" hidden="false" customHeight="false" outlineLevel="0" collapsed="false">
      <c r="A55" s="9" t="s">
        <v>109</v>
      </c>
      <c r="B55" s="10" t="n">
        <v>5530000</v>
      </c>
      <c r="C55" s="11" t="s">
        <v>110</v>
      </c>
    </row>
    <row r="56" customFormat="false" ht="15" hidden="false" customHeight="false" outlineLevel="0" collapsed="false">
      <c r="A56" s="9" t="s">
        <v>111</v>
      </c>
      <c r="B56" s="10" t="n">
        <v>5610000</v>
      </c>
      <c r="C56" s="11" t="s">
        <v>112</v>
      </c>
    </row>
    <row r="57" customFormat="false" ht="15" hidden="false" customHeight="false" outlineLevel="0" collapsed="false">
      <c r="A57" s="9" t="s">
        <v>113</v>
      </c>
      <c r="B57" s="10" t="n">
        <v>-24000</v>
      </c>
      <c r="C57" s="11" t="s">
        <v>114</v>
      </c>
    </row>
    <row r="58" customFormat="false" ht="15" hidden="false" customHeight="false" outlineLevel="0" collapsed="false">
      <c r="A58" s="4" t="s">
        <v>115</v>
      </c>
      <c r="B58" s="8"/>
      <c r="C58" s="8"/>
    </row>
    <row r="60" customFormat="false" ht="15" hidden="false" customHeight="false" outlineLevel="0" collapsed="false">
      <c r="A60" s="9" t="s">
        <v>116</v>
      </c>
      <c r="B60" s="12" t="n">
        <v>0.46</v>
      </c>
      <c r="C60" s="11" t="s">
        <v>117</v>
      </c>
    </row>
    <row r="61" customFormat="false" ht="15" hidden="false" customHeight="false" outlineLevel="0" collapsed="false">
      <c r="A61" s="9" t="s">
        <v>118</v>
      </c>
      <c r="B61" s="12" t="n">
        <v>0.02</v>
      </c>
      <c r="C61" s="11" t="s">
        <v>119</v>
      </c>
    </row>
    <row r="62" customFormat="false" ht="15" hidden="false" customHeight="false" outlineLevel="0" collapsed="false">
      <c r="A62" s="9" t="s">
        <v>120</v>
      </c>
      <c r="B62" s="12" t="n">
        <v>0.03</v>
      </c>
      <c r="C62" s="11" t="s">
        <v>121</v>
      </c>
    </row>
    <row r="63" customFormat="false" ht="15" hidden="false" customHeight="false" outlineLevel="0" collapsed="false">
      <c r="A63" s="9" t="s">
        <v>122</v>
      </c>
      <c r="B63" s="10" t="n">
        <v>980000</v>
      </c>
      <c r="C63" s="11" t="s">
        <v>123</v>
      </c>
    </row>
    <row r="64" customFormat="false" ht="15" hidden="false" customHeight="false" outlineLevel="0" collapsed="false">
      <c r="A64" s="9" t="s">
        <v>124</v>
      </c>
      <c r="B64" s="12" t="n">
        <v>0.02</v>
      </c>
      <c r="C64" s="11" t="s">
        <v>125</v>
      </c>
    </row>
    <row r="65" customFormat="false" ht="15" hidden="false" customHeight="false" outlineLevel="0" collapsed="false">
      <c r="A65" s="9" t="s">
        <v>126</v>
      </c>
      <c r="B65" s="12" t="n">
        <v>0.25</v>
      </c>
      <c r="C65" s="11" t="s">
        <v>127</v>
      </c>
    </row>
    <row r="66" customFormat="false" ht="15" hidden="false" customHeight="false" outlineLevel="0" collapsed="false">
      <c r="A66" s="9" t="s">
        <v>128</v>
      </c>
      <c r="B66" s="12" t="n">
        <v>0.065</v>
      </c>
      <c r="C66" s="11" t="s">
        <v>129</v>
      </c>
    </row>
    <row r="67" customFormat="false" ht="15" hidden="false" customHeight="false" outlineLevel="0" collapsed="false">
      <c r="A67" s="4" t="s">
        <v>130</v>
      </c>
      <c r="B67" s="8"/>
      <c r="C67" s="8"/>
    </row>
    <row r="69" customFormat="false" ht="15" hidden="false" customHeight="false" outlineLevel="0" collapsed="false">
      <c r="A69" s="9" t="s">
        <v>131</v>
      </c>
      <c r="B69" s="12" t="n">
        <v>0.0025</v>
      </c>
      <c r="C69" s="11" t="s">
        <v>132</v>
      </c>
    </row>
    <row r="70" customFormat="false" ht="15" hidden="false" customHeight="false" outlineLevel="0" collapsed="false">
      <c r="A70" s="9" t="s">
        <v>133</v>
      </c>
      <c r="B70" s="13" t="n">
        <v>5</v>
      </c>
      <c r="C70" s="11" t="s">
        <v>134</v>
      </c>
    </row>
    <row r="71" customFormat="false" ht="15" hidden="false" customHeight="false" outlineLevel="0" collapsed="false">
      <c r="A71" s="9" t="s">
        <v>135</v>
      </c>
      <c r="B71" s="13" t="n">
        <v>0.25</v>
      </c>
      <c r="C71" s="11" t="s">
        <v>136</v>
      </c>
    </row>
    <row r="72" customFormat="false" ht="15" hidden="false" customHeight="false" outlineLevel="0" collapsed="false">
      <c r="A72" s="9" t="s">
        <v>137</v>
      </c>
      <c r="B72" s="13" t="n">
        <v>5</v>
      </c>
      <c r="C72" s="11" t="s">
        <v>138</v>
      </c>
    </row>
    <row r="73" customFormat="false" ht="15" hidden="false" customHeight="false" outlineLevel="0" collapsed="false">
      <c r="A73" s="9" t="s">
        <v>139</v>
      </c>
      <c r="B73" s="12" t="n">
        <v>0.8</v>
      </c>
      <c r="C73" s="11" t="s">
        <v>140</v>
      </c>
    </row>
    <row r="74" customFormat="false" ht="15" hidden="false" customHeight="false" outlineLevel="0" collapsed="false">
      <c r="A74" s="4" t="s">
        <v>141</v>
      </c>
      <c r="B74" s="8"/>
      <c r="C74" s="8"/>
    </row>
    <row r="76" customFormat="false" ht="15" hidden="false" customHeight="false" outlineLevel="0" collapsed="false">
      <c r="A76" s="9" t="s">
        <v>142</v>
      </c>
      <c r="B76" s="12" t="n">
        <v>0.42</v>
      </c>
      <c r="C76" s="11" t="s">
        <v>143</v>
      </c>
    </row>
    <row r="77" customFormat="false" ht="15" hidden="false" customHeight="false" outlineLevel="0" collapsed="false">
      <c r="A77" s="9" t="s">
        <v>144</v>
      </c>
      <c r="B77" s="12" t="n">
        <v>0.045</v>
      </c>
      <c r="C77" s="11" t="s">
        <v>145</v>
      </c>
    </row>
    <row r="78" customFormat="false" ht="15" hidden="false" customHeight="false" outlineLevel="0" collapsed="false">
      <c r="A78" s="9" t="s">
        <v>146</v>
      </c>
      <c r="B78" s="12" t="n">
        <v>0.35</v>
      </c>
      <c r="C78" s="11" t="s">
        <v>147</v>
      </c>
    </row>
    <row r="79" customFormat="false" ht="15" hidden="false" customHeight="false" outlineLevel="0" collapsed="false">
      <c r="A79" s="9" t="s">
        <v>148</v>
      </c>
      <c r="B79" s="13" t="n">
        <v>0.5</v>
      </c>
      <c r="C79" s="11" t="s">
        <v>149</v>
      </c>
    </row>
    <row r="80" customFormat="false" ht="15" hidden="false" customHeight="false" outlineLevel="0" collapsed="false">
      <c r="A80" s="9" t="s">
        <v>150</v>
      </c>
      <c r="B80" s="12" t="n">
        <v>0.62</v>
      </c>
      <c r="C80" s="11" t="s">
        <v>151</v>
      </c>
    </row>
    <row r="81" customFormat="false" ht="15" hidden="false" customHeight="false" outlineLevel="0" collapsed="false">
      <c r="A81" s="4" t="s">
        <v>152</v>
      </c>
      <c r="B81" s="8"/>
      <c r="C81" s="8"/>
    </row>
    <row r="83" customFormat="false" ht="15" hidden="false" customHeight="false" outlineLevel="0" collapsed="false">
      <c r="A83" s="9" t="s">
        <v>153</v>
      </c>
      <c r="B83" s="13" t="n">
        <v>10</v>
      </c>
      <c r="C83" s="11" t="s">
        <v>154</v>
      </c>
    </row>
    <row r="85" customFormat="false" ht="15" hidden="false" customHeight="false" outlineLevel="0" collapsed="false">
      <c r="A85" s="4" t="s">
        <v>155</v>
      </c>
      <c r="B85" s="8"/>
      <c r="C85" s="8"/>
    </row>
    <row r="87" customFormat="false" ht="15" hidden="false" customHeight="false" outlineLevel="0" collapsed="false">
      <c r="A87" s="14" t="s">
        <v>156</v>
      </c>
      <c r="B87" s="15" t="n">
        <f aca="false">CASH+AFS+HTM+LOANS_FIX+LOANS_FLT+OTHER_ASSETS</f>
        <v>8000000</v>
      </c>
    </row>
    <row r="88" customFormat="false" ht="15" hidden="false" customHeight="false" outlineLevel="0" collapsed="false">
      <c r="A88" s="14" t="s">
        <v>157</v>
      </c>
      <c r="B88" s="15" t="n">
        <f aca="false">DEP_NIB+DEP_SAV+DEP_TIME+FHLB+SUBDEBT+OTHER_LIAB+EQUITY</f>
        <v>8000000</v>
      </c>
    </row>
    <row r="89" customFormat="false" ht="15" hidden="false" customHeight="false" outlineLevel="0" collapsed="false">
      <c r="A89" s="14" t="s">
        <v>158</v>
      </c>
      <c r="B89" s="15" t="n">
        <f aca="false">TOT_ASSETS-TOT_LIAB</f>
        <v>0</v>
      </c>
    </row>
    <row r="90" customFormat="false" ht="15" hidden="false" customHeight="false" outlineLevel="0" collapsed="false">
      <c r="A90" s="7" t="s">
        <v>159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160</v>
      </c>
    </row>
    <row r="2" customFormat="false" ht="15" hidden="false" customHeight="false" outlineLevel="0" collapsed="false">
      <c r="A2" s="2" t="s">
        <v>161</v>
      </c>
    </row>
    <row r="3" customFormat="false" ht="15" hidden="false" customHeight="false" outlineLevel="0" collapsed="false">
      <c r="A3" s="3"/>
      <c r="B3" s="3"/>
    </row>
    <row r="6" customFormat="false" ht="15" hidden="false" customHeight="false" outlineLevel="0" collapsed="false">
      <c r="A6" s="4" t="s">
        <v>162</v>
      </c>
      <c r="B6" s="8"/>
      <c r="C6" s="8"/>
    </row>
    <row r="8" customFormat="false" ht="15" hidden="false" customHeight="false" outlineLevel="0" collapsed="false">
      <c r="A8" s="9" t="s">
        <v>163</v>
      </c>
      <c r="B8" s="16" t="n">
        <f aca="false">CASH+LOANS_FLT</f>
        <v>2030000</v>
      </c>
    </row>
    <row r="9" customFormat="false" ht="15" hidden="false" customHeight="false" outlineLevel="0" collapsed="false">
      <c r="A9" s="9" t="s">
        <v>164</v>
      </c>
      <c r="B9" s="16" t="n">
        <f aca="false">FHLB+DEP_TIME*BETA_TIME+DEP_SAV*BETA_SAV</f>
        <v>3012000</v>
      </c>
    </row>
    <row r="10" customFormat="false" ht="15" hidden="false" customHeight="false" outlineLevel="0" collapsed="false">
      <c r="A10" s="14" t="s">
        <v>165</v>
      </c>
      <c r="B10" s="15" t="n">
        <f aca="false">ASSETS_REPRICE-LIAB_REPRICE</f>
        <v>-982000</v>
      </c>
    </row>
    <row r="11" customFormat="false" ht="15" hidden="false" customHeight="false" outlineLevel="0" collapsed="false">
      <c r="A11" s="9" t="s">
        <v>166</v>
      </c>
      <c r="B11" s="16" t="n">
        <f aca="false">WGAP*SHOCK</f>
        <v>-41735</v>
      </c>
    </row>
    <row r="12" customFormat="false" ht="15" hidden="false" customHeight="false" outlineLevel="0" collapsed="false">
      <c r="A12" s="9" t="s">
        <v>167</v>
      </c>
      <c r="B12" s="16" t="n">
        <f aca="false">NII1-NII0</f>
        <v>-41735</v>
      </c>
    </row>
    <row r="13" customFormat="false" ht="15" hidden="false" customHeight="false" outlineLevel="0" collapsed="false">
      <c r="A13" s="4" t="s">
        <v>168</v>
      </c>
      <c r="B13" s="8"/>
      <c r="C13" s="8"/>
    </row>
    <row r="15" customFormat="false" ht="15" hidden="false" customHeight="false" outlineLevel="0" collapsed="false">
      <c r="A15" s="9" t="s">
        <v>169</v>
      </c>
      <c r="B15" s="17" t="n">
        <f aca="false">BETA_SAV</f>
        <v>0.35</v>
      </c>
    </row>
    <row r="16" customFormat="false" ht="15" hidden="false" customHeight="false" outlineLevel="0" collapsed="false">
      <c r="A16" s="14" t="s">
        <v>170</v>
      </c>
      <c r="B16" s="18" t="n">
        <f aca="false">(DEP_NIB+DEP_SAV)*BETA_SAV/DEP_SAV</f>
        <v>0.540123456790123</v>
      </c>
    </row>
    <row r="17" customFormat="false" ht="15" hidden="false" customHeight="false" outlineLevel="0" collapsed="false">
      <c r="A17" s="9" t="s">
        <v>171</v>
      </c>
      <c r="B17" s="19" t="n">
        <f aca="false">BETA_SAV_ONLY/BETA_SAV</f>
        <v>1.54320987654321</v>
      </c>
    </row>
    <row r="18" customFormat="false" ht="15" hidden="false" customHeight="false" outlineLevel="0" collapsed="false">
      <c r="A18" s="4" t="s">
        <v>172</v>
      </c>
      <c r="B18" s="8"/>
      <c r="C18" s="8"/>
    </row>
    <row r="20" customFormat="false" ht="15" hidden="false" customHeight="false" outlineLevel="0" collapsed="false">
      <c r="A20" s="14" t="s">
        <v>173</v>
      </c>
      <c r="B20" s="18" t="n">
        <f aca="false">BETA_SAV+PBT/(DEP_SAV*SHOCK)</f>
        <v>0.617247639796659</v>
      </c>
    </row>
    <row r="21" customFormat="false" ht="15" hidden="false" customHeight="false" outlineLevel="0" collapsed="false">
      <c r="A21" s="9" t="s">
        <v>174</v>
      </c>
      <c r="B21" s="16" t="n">
        <f aca="false">DEP_SAV*(BETA_TEST-BETA_SAV)*SHOCK</f>
        <v>37179</v>
      </c>
    </row>
    <row r="22" customFormat="false" ht="15" hidden="false" customHeight="false" outlineLevel="0" collapsed="false">
      <c r="A22" s="14" t="s">
        <v>175</v>
      </c>
      <c r="B22" s="15" t="n">
        <f aca="false">PBT-COST_BETA_TEST</f>
        <v>-379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176</v>
      </c>
    </row>
    <row r="2" customFormat="false" ht="15" hidden="false" customHeight="false" outlineLevel="0" collapsed="false">
      <c r="A2" s="2" t="s">
        <v>177</v>
      </c>
    </row>
    <row r="3" customFormat="false" ht="15" hidden="false" customHeight="false" outlineLevel="0" collapsed="false">
      <c r="A3" s="3"/>
      <c r="B3" s="3"/>
    </row>
    <row r="6" customFormat="false" ht="15" hidden="false" customHeight="false" outlineLevel="0" collapsed="false">
      <c r="A6" s="4" t="s">
        <v>178</v>
      </c>
      <c r="B6" s="8"/>
      <c r="C6" s="8"/>
    </row>
    <row r="8" customFormat="false" ht="15" hidden="false" customHeight="false" outlineLevel="0" collapsed="false">
      <c r="A8" s="9" t="s">
        <v>179</v>
      </c>
      <c r="B8" s="17" t="n">
        <f aca="false">-DUR_AFS*SHOCK+0.5*CVX_AFS*SHOCK^2</f>
        <v>-0.173825</v>
      </c>
    </row>
    <row r="9" customFormat="false" ht="15" hidden="false" customHeight="false" outlineLevel="0" collapsed="false">
      <c r="A9" s="9" t="s">
        <v>180</v>
      </c>
      <c r="B9" s="17" t="n">
        <f aca="false">-DUR_HTM*SHOCK+0.5*CVX_HTM*SHOCK^2</f>
        <v>-0.267378125</v>
      </c>
    </row>
    <row r="10" customFormat="false" ht="15" hidden="false" customHeight="false" outlineLevel="0" collapsed="false">
      <c r="A10" s="9" t="s">
        <v>181</v>
      </c>
      <c r="B10" s="17" t="n">
        <f aca="false">-DUR_FIX*SHOCK+0.5*CVX_FIX*SHOCK^2</f>
        <v>-0.14949375</v>
      </c>
    </row>
    <row r="11" customFormat="false" ht="15" hidden="false" customHeight="false" outlineLevel="0" collapsed="false">
      <c r="A11" s="4" t="s">
        <v>182</v>
      </c>
      <c r="B11" s="8"/>
      <c r="C11" s="8"/>
    </row>
    <row r="13" customFormat="false" ht="15" hidden="false" customHeight="false" outlineLevel="0" collapsed="false">
      <c r="A13" s="9" t="s">
        <v>183</v>
      </c>
      <c r="B13" s="16" t="n">
        <f aca="false">AFS*PX_AFS</f>
        <v>-205113.5</v>
      </c>
    </row>
    <row r="14" customFormat="false" ht="15" hidden="false" customHeight="false" outlineLevel="0" collapsed="false">
      <c r="A14" s="9" t="s">
        <v>184</v>
      </c>
      <c r="B14" s="16" t="n">
        <f aca="false">HTM*PX_HTM</f>
        <v>-438500.125</v>
      </c>
    </row>
    <row r="15" customFormat="false" ht="15" hidden="false" customHeight="false" outlineLevel="0" collapsed="false">
      <c r="A15" s="9" t="s">
        <v>185</v>
      </c>
      <c r="B15" s="16" t="n">
        <f aca="false">LOANS_FIX*PX_FIX</f>
        <v>-426057.1875</v>
      </c>
    </row>
    <row r="16" customFormat="false" ht="15" hidden="false" customHeight="false" outlineLevel="0" collapsed="false">
      <c r="A16" s="9" t="s">
        <v>186</v>
      </c>
      <c r="B16" s="16" t="n">
        <f aca="false">MV_AFS*(1-TAX)</f>
        <v>-153835.125</v>
      </c>
    </row>
    <row r="17" customFormat="false" ht="15" hidden="false" customHeight="false" outlineLevel="0" collapsed="false">
      <c r="A17" s="9" t="s">
        <v>187</v>
      </c>
      <c r="B17" s="16" t="n">
        <f aca="false">MV_HTM*(1-TAX)</f>
        <v>-328875.09375</v>
      </c>
    </row>
    <row r="18" customFormat="false" ht="15" hidden="false" customHeight="false" outlineLevel="0" collapsed="false">
      <c r="A18" s="9" t="s">
        <v>188</v>
      </c>
      <c r="B18" s="16" t="n">
        <f aca="false">MV_FIX*(1-TAX)</f>
        <v>-319542.890625</v>
      </c>
    </row>
    <row r="19" customFormat="false" ht="15" hidden="false" customHeight="false" outlineLevel="0" collapsed="false">
      <c r="A19" s="9" t="s">
        <v>189</v>
      </c>
      <c r="B19" s="16" t="n">
        <f aca="false">DEP_TIME*(1-BETA_TIME)*DUR_TIME*SHOCK*(1-TAX)</f>
        <v>6368.625</v>
      </c>
    </row>
    <row r="20" customFormat="false" ht="15" hidden="false" customHeight="false" outlineLevel="0" collapsed="false">
      <c r="A20" s="9" t="s">
        <v>190</v>
      </c>
      <c r="B20" s="16" t="n">
        <f aca="false">(DEP_NIB+DEP_SAV)*(1-BETA_SAV)*DEP_LIFE*SHOCK*(1-TAX)</f>
        <v>435093.75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191</v>
      </c>
    </row>
    <row r="2" customFormat="false" ht="15" hidden="false" customHeight="false" outlineLevel="0" collapsed="false">
      <c r="A2" s="2" t="s">
        <v>192</v>
      </c>
    </row>
    <row r="3" customFormat="false" ht="15" hidden="false" customHeight="false" outlineLevel="0" collapsed="false">
      <c r="A3" s="3"/>
      <c r="B3" s="3"/>
    </row>
    <row r="6" customFormat="false" ht="15" hidden="false" customHeight="false" outlineLevel="0" collapsed="false">
      <c r="A6" s="4" t="s">
        <v>193</v>
      </c>
      <c r="B6" s="8"/>
      <c r="C6" s="8"/>
    </row>
    <row r="8" customFormat="false" ht="15" hidden="false" customHeight="false" outlineLevel="0" collapsed="false">
      <c r="A8" s="9" t="s">
        <v>194</v>
      </c>
      <c r="B8" s="17" t="n">
        <f aca="false">MKT0+SPREAD_FLT</f>
        <v>0.0395</v>
      </c>
    </row>
    <row r="9" customFormat="false" ht="15" hidden="false" customHeight="false" outlineLevel="0" collapsed="false">
      <c r="A9" s="9" t="s">
        <v>195</v>
      </c>
      <c r="B9" s="16" t="n">
        <f aca="false">CASH*Y_CASH+AFS*Y_AFS+HTM*Y_HTM+LOANS_FIX*Y_FIX+LOANS_FLT*Y_FLT0</f>
        <v>246192</v>
      </c>
    </row>
    <row r="10" customFormat="false" ht="15" hidden="false" customHeight="false" outlineLevel="0" collapsed="false">
      <c r="A10" s="9" t="s">
        <v>196</v>
      </c>
      <c r="B10" s="16" t="n">
        <f aca="false">DEP_SAV*C_SAV+DEP_TIME*C_TIME+FHLB*C_FHLB+SUBDEBT*C_SUB</f>
        <v>34657</v>
      </c>
    </row>
    <row r="11" customFormat="false" ht="15" hidden="false" customHeight="false" outlineLevel="0" collapsed="false">
      <c r="A11" s="14" t="s">
        <v>197</v>
      </c>
      <c r="B11" s="15" t="n">
        <f aca="false">INC0-EXP0</f>
        <v>211535</v>
      </c>
    </row>
    <row r="12" customFormat="false" ht="15" hidden="false" customHeight="false" outlineLevel="0" collapsed="false">
      <c r="A12" s="9" t="s">
        <v>198</v>
      </c>
      <c r="B12" s="16" t="n">
        <f aca="false">CASH+AFS+HTM+LOANS_FIX+LOANS_FLT</f>
        <v>7700000</v>
      </c>
    </row>
    <row r="13" customFormat="false" ht="15" hidden="false" customHeight="false" outlineLevel="0" collapsed="false">
      <c r="A13" s="9" t="s">
        <v>199</v>
      </c>
      <c r="B13" s="17" t="n">
        <f aca="false">NII0/EARNING</f>
        <v>0.0274720779220779</v>
      </c>
    </row>
    <row r="14" customFormat="false" ht="15" hidden="false" customHeight="false" outlineLevel="0" collapsed="false">
      <c r="A14" s="4" t="s">
        <v>200</v>
      </c>
      <c r="B14" s="8"/>
      <c r="C14" s="8"/>
    </row>
    <row r="16" customFormat="false" ht="15" hidden="false" customHeight="false" outlineLevel="0" collapsed="false">
      <c r="A16" s="9" t="s">
        <v>201</v>
      </c>
      <c r="B16" s="17" t="n">
        <f aca="false">MKT0+SHOCK+SPREAD_FLT</f>
        <v>0.082</v>
      </c>
    </row>
    <row r="17" customFormat="false" ht="15" hidden="false" customHeight="false" outlineLevel="0" collapsed="false">
      <c r="A17" s="9" t="s">
        <v>202</v>
      </c>
      <c r="B17" s="17" t="n">
        <f aca="false">C_SAV+BETA_SAV*SHOCK</f>
        <v>0.016675</v>
      </c>
    </row>
    <row r="18" customFormat="false" ht="15" hidden="false" customHeight="false" outlineLevel="0" collapsed="false">
      <c r="A18" s="9" t="s">
        <v>203</v>
      </c>
      <c r="B18" s="17" t="n">
        <f aca="false">C_TIME+BETA_TIME*SHOCK</f>
        <v>0.044625</v>
      </c>
    </row>
    <row r="19" customFormat="false" ht="15" hidden="false" customHeight="false" outlineLevel="0" collapsed="false">
      <c r="A19" s="9" t="s">
        <v>204</v>
      </c>
      <c r="B19" s="17" t="n">
        <f aca="false">C_FHLB+SHOCK</f>
        <v>0.056</v>
      </c>
    </row>
    <row r="20" customFormat="false" ht="15" hidden="false" customHeight="false" outlineLevel="0" collapsed="false">
      <c r="A20" s="9" t="s">
        <v>205</v>
      </c>
      <c r="B20" s="16" t="n">
        <f aca="false">CASH*(Y_CASH+SHOCK)+AFS*Y_AFS+HTM*Y_HTM+LOANS_FIX*Y_FIX+LOANS_FLT*Y_FLT1</f>
        <v>332467</v>
      </c>
    </row>
    <row r="21" customFormat="false" ht="15" hidden="false" customHeight="false" outlineLevel="0" collapsed="false">
      <c r="A21" s="9" t="s">
        <v>206</v>
      </c>
      <c r="B21" s="16" t="n">
        <f aca="false">DEP_SAV*C_SAV1+DEP_TIME*C_TIME1+FHLB*C_FHLB1+SUBDEBT*C_SUB</f>
        <v>162667</v>
      </c>
    </row>
    <row r="22" customFormat="false" ht="15" hidden="false" customHeight="false" outlineLevel="0" collapsed="false">
      <c r="A22" s="14" t="s">
        <v>207</v>
      </c>
      <c r="B22" s="15" t="n">
        <f aca="false">INC1-EXP1</f>
        <v>169800</v>
      </c>
    </row>
    <row r="23" customFormat="false" ht="15" hidden="false" customHeight="false" outlineLevel="0" collapsed="false">
      <c r="A23" s="9" t="s">
        <v>208</v>
      </c>
      <c r="B23" s="17" t="n">
        <f aca="false">NII1/EARNING</f>
        <v>0.0220519480519481</v>
      </c>
    </row>
    <row r="24" customFormat="false" ht="15" hidden="false" customHeight="false" outlineLevel="0" collapsed="false">
      <c r="A24" s="4" t="s">
        <v>209</v>
      </c>
      <c r="B24" s="8"/>
      <c r="C24" s="8"/>
    </row>
    <row r="26" customFormat="false" ht="15" hidden="false" customHeight="false" outlineLevel="0" collapsed="false">
      <c r="A26" s="9" t="s">
        <v>210</v>
      </c>
      <c r="B26" s="16" t="n">
        <f aca="false">NII1+FEES-OPEX-PROVISION</f>
        <v>36800</v>
      </c>
    </row>
    <row r="27" customFormat="false" ht="15" hidden="false" customHeight="false" outlineLevel="0" collapsed="false">
      <c r="A27" s="14" t="s">
        <v>211</v>
      </c>
      <c r="B27" s="15" t="n">
        <f aca="false">PBT*(1-TAX)</f>
        <v>27600</v>
      </c>
    </row>
    <row r="28" customFormat="false" ht="15" hidden="false" customHeight="false" outlineLevel="0" collapsed="false">
      <c r="A28" s="9" t="s">
        <v>212</v>
      </c>
      <c r="B28" s="16" t="n">
        <f aca="false">NET_INCOME-DIVIDEND</f>
        <v>9600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213</v>
      </c>
    </row>
    <row r="2" customFormat="false" ht="15" hidden="false" customHeight="false" outlineLevel="0" collapsed="false">
      <c r="A2" s="2" t="s">
        <v>214</v>
      </c>
    </row>
    <row r="3" customFormat="false" ht="15" hidden="false" customHeight="false" outlineLevel="0" collapsed="false">
      <c r="A3" s="3"/>
      <c r="B3" s="3"/>
    </row>
    <row r="6" customFormat="false" ht="15" hidden="false" customHeight="false" outlineLevel="0" collapsed="false">
      <c r="A6" s="4" t="s">
        <v>215</v>
      </c>
      <c r="B6" s="8"/>
      <c r="C6" s="8"/>
    </row>
    <row r="8" customFormat="false" ht="15" hidden="false" customHeight="false" outlineLevel="0" collapsed="false">
      <c r="A8" s="9" t="s">
        <v>216</v>
      </c>
      <c r="B8" s="16" t="n">
        <f aca="false">AOCI0*(1-TAX)</f>
        <v>-18000</v>
      </c>
    </row>
    <row r="9" customFormat="false" ht="15" hidden="false" customHeight="false" outlineLevel="0" collapsed="false">
      <c r="A9" s="9" t="s">
        <v>217</v>
      </c>
      <c r="B9" s="16" t="n">
        <f aca="false">EQUITY-GOODWILL-AOCI0_N</f>
        <v>630000</v>
      </c>
    </row>
    <row r="10" customFormat="false" ht="15" hidden="false" customHeight="false" outlineLevel="0" collapsed="false">
      <c r="A10" s="9" t="s">
        <v>218</v>
      </c>
      <c r="B10" s="16" t="n">
        <f aca="false">EQUITY+RETAINED+(MV_AFS_N-AOCI0_N)</f>
        <v>533764.875</v>
      </c>
    </row>
    <row r="11" customFormat="false" ht="15" hidden="false" customHeight="false" outlineLevel="0" collapsed="false">
      <c r="A11" s="14" t="s">
        <v>219</v>
      </c>
      <c r="B11" s="15" t="n">
        <f aca="false">EQUITY1-GOODWILL-MV_AFS_N</f>
        <v>639600</v>
      </c>
    </row>
    <row r="12" customFormat="false" ht="15" hidden="false" customHeight="false" outlineLevel="0" collapsed="false">
      <c r="A12" s="14" t="s">
        <v>220</v>
      </c>
      <c r="B12" s="15" t="n">
        <f aca="false">CET1_1+MV_AFS_N</f>
        <v>485764.875</v>
      </c>
    </row>
    <row r="13" customFormat="false" ht="15" hidden="false" customHeight="false" outlineLevel="0" collapsed="false">
      <c r="A13" s="9" t="s">
        <v>221</v>
      </c>
      <c r="B13" s="16" t="n">
        <f aca="false">TOT_ASSETS+RETAINED+(MV_AFS_N-AOCI0_N)</f>
        <v>7873764.875</v>
      </c>
    </row>
    <row r="14" customFormat="false" ht="15" hidden="false" customHeight="false" outlineLevel="0" collapsed="false">
      <c r="A14" s="14" t="s">
        <v>222</v>
      </c>
      <c r="B14" s="15" t="n">
        <f aca="false">EQUITY1-GOODWILL+MV_HTM_N</f>
        <v>156889.78125</v>
      </c>
    </row>
    <row r="15" customFormat="false" ht="15" hidden="false" customHeight="false" outlineLevel="0" collapsed="false">
      <c r="A15" s="9" t="s">
        <v>223</v>
      </c>
      <c r="B15" s="16" t="n">
        <f aca="false">ASSETS1-GOODWILL+MV_HTM_N</f>
        <v>7496889.78125</v>
      </c>
    </row>
    <row r="16" customFormat="false" ht="15" hidden="false" customHeight="false" outlineLevel="0" collapsed="false">
      <c r="A16" s="14" t="s">
        <v>224</v>
      </c>
      <c r="B16" s="15" t="n">
        <f aca="false">TCE+MV_FIX_N+FRANCHISE_N+MV_TIME_N</f>
        <v>278809.265625</v>
      </c>
    </row>
    <row r="17" customFormat="false" ht="15" hidden="false" customHeight="false" outlineLevel="0" collapsed="false">
      <c r="A17" s="9" t="s">
        <v>225</v>
      </c>
      <c r="B17" s="16" t="n">
        <f aca="false">TANG_ASSETS+MV_FIX_N</f>
        <v>7177346.890625</v>
      </c>
    </row>
    <row r="18" customFormat="false" ht="15" hidden="false" customHeight="false" outlineLevel="0" collapsed="false">
      <c r="A18" s="4" t="s">
        <v>226</v>
      </c>
      <c r="B18" s="8"/>
      <c r="C18" s="8"/>
    </row>
    <row r="20" customFormat="false" ht="15" hidden="false" customHeight="false" outlineLevel="0" collapsed="false">
      <c r="A20" s="9" t="s">
        <v>227</v>
      </c>
      <c r="B20" s="17" t="n">
        <f aca="false">CET1_1/RWA1</f>
        <v>0.114010695187166</v>
      </c>
    </row>
    <row r="21" customFormat="false" ht="15" hidden="false" customHeight="false" outlineLevel="0" collapsed="false">
      <c r="A21" s="9" t="s">
        <v>228</v>
      </c>
      <c r="B21" s="17" t="n">
        <f aca="false">CET1_2/RWA1</f>
        <v>0.0865891042780749</v>
      </c>
    </row>
    <row r="22" customFormat="false" ht="15" hidden="false" customHeight="false" outlineLevel="0" collapsed="false">
      <c r="A22" s="9" t="s">
        <v>229</v>
      </c>
      <c r="B22" s="17" t="n">
        <f aca="false">TCE/TANG_ASSETS</f>
        <v>0.0209273159707359</v>
      </c>
    </row>
    <row r="23" customFormat="false" ht="15" hidden="false" customHeight="false" outlineLevel="0" collapsed="false">
      <c r="A23" s="9" t="s">
        <v>230</v>
      </c>
      <c r="B23" s="17" t="n">
        <f aca="false">EVE/EVE_BASE</f>
        <v>0.0388457280766489</v>
      </c>
    </row>
    <row r="24" customFormat="false" ht="15" hidden="false" customHeight="false" outlineLevel="0" collapsed="false">
      <c r="A24" s="9" t="s">
        <v>231</v>
      </c>
      <c r="B24" s="17" t="n">
        <f aca="false">CET1_0/RWA0</f>
        <v>0.113924050632911</v>
      </c>
    </row>
    <row r="25" customFormat="false" ht="15" hidden="false" customHeight="false" outlineLevel="0" collapsed="false">
      <c r="A25" s="14" t="s">
        <v>232</v>
      </c>
      <c r="B25" s="18" t="n">
        <f aca="false">R1-R3</f>
        <v>0.0930833792164299</v>
      </c>
    </row>
    <row r="27" customFormat="false" ht="15" hidden="false" customHeight="false" outlineLevel="0" collapsed="false">
      <c r="A27" s="4" t="s">
        <v>152</v>
      </c>
      <c r="B27" s="8"/>
      <c r="C27" s="8"/>
    </row>
    <row r="29" customFormat="false" ht="15" hidden="false" customHeight="false" outlineLevel="0" collapsed="false">
      <c r="A29" s="14" t="s">
        <v>233</v>
      </c>
      <c r="B29" s="15" t="n">
        <f aca="false">EVE</f>
        <v>278809.265625</v>
      </c>
    </row>
    <row r="30" customFormat="false" ht="15" hidden="false" customHeight="false" outlineLevel="0" collapsed="false">
      <c r="A30" s="9" t="s">
        <v>234</v>
      </c>
      <c r="B30" s="17" t="n">
        <f aca="false">FRANCHISE_N/(DEP_NIB+DEP_SAV)</f>
        <v>0.08701875</v>
      </c>
    </row>
    <row r="31" customFormat="false" ht="15" hidden="false" customHeight="false" outlineLevel="0" collapsed="false">
      <c r="A31" s="9" t="s">
        <v>235</v>
      </c>
      <c r="B31" s="19" t="n">
        <f aca="false">PRICE/TCE</f>
        <v>1.77710277497758</v>
      </c>
    </row>
    <row r="32" customFormat="false" ht="15" hidden="false" customHeight="false" outlineLevel="0" collapsed="false">
      <c r="A32" s="14" t="s">
        <v>236</v>
      </c>
      <c r="B32" s="18" t="n">
        <f aca="false">1-PRICE/CET1_1</f>
        <v>0.564088077509381</v>
      </c>
    </row>
    <row r="33" customFormat="false" ht="15" hidden="false" customHeight="false" outlineLevel="0" collapsed="false">
      <c r="A33" s="9" t="s">
        <v>237</v>
      </c>
      <c r="B33" s="17" t="n">
        <f aca="false">1-PRICE/EQUITY1</f>
        <v>0.477655277288525</v>
      </c>
    </row>
    <row r="34" customFormat="false" ht="15" hidden="false" customHeight="false" outlineLevel="0" collapsed="false">
      <c r="A34" s="9" t="s">
        <v>238</v>
      </c>
      <c r="B34" s="16" t="n">
        <f aca="false">FRANCHISE_N/CDI_LIFE</f>
        <v>43509.375</v>
      </c>
    </row>
    <row r="35" customFormat="false" ht="15" hidden="false" customHeight="false" outlineLevel="0" collapsed="false">
      <c r="A35" s="14" t="s">
        <v>239</v>
      </c>
      <c r="B35" s="20" t="n">
        <f aca="false">CDI_AMORT/NET_INCOME</f>
        <v>1.57642663043478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6" min="2" style="0" width="16"/>
  </cols>
  <sheetData>
    <row r="1" customFormat="false" ht="24" hidden="false" customHeight="true" outlineLevel="0" collapsed="false">
      <c r="A1" s="1" t="s">
        <v>240</v>
      </c>
    </row>
    <row r="2" customFormat="false" ht="15" hidden="false" customHeight="false" outlineLevel="0" collapsed="false">
      <c r="A2" s="2" t="s">
        <v>241</v>
      </c>
    </row>
    <row r="3" customFormat="false" ht="15" hidden="false" customHeight="false" outlineLevel="0" collapsed="false">
      <c r="A3" s="3"/>
      <c r="B3" s="3"/>
      <c r="C3" s="3"/>
      <c r="D3" s="3"/>
      <c r="E3" s="3"/>
      <c r="F3" s="3"/>
    </row>
    <row r="5" customFormat="false" ht="15" hidden="false" customHeight="false" outlineLevel="0" collapsed="false">
      <c r="A5" s="7" t="s">
        <v>242</v>
      </c>
    </row>
    <row r="7" customFormat="false" ht="31.5" hidden="false" customHeight="true" outlineLevel="0" collapsed="false">
      <c r="A7" s="21" t="s">
        <v>243</v>
      </c>
      <c r="B7" s="22" t="n">
        <v>0.2</v>
      </c>
      <c r="C7" s="22" t="n">
        <v>0.35</v>
      </c>
      <c r="D7" s="22" t="n">
        <v>0.5</v>
      </c>
      <c r="E7" s="22" t="n">
        <v>0.62</v>
      </c>
      <c r="F7" s="22" t="n">
        <v>0.65</v>
      </c>
    </row>
    <row r="8" customFormat="false" ht="15" hidden="false" customHeight="false" outlineLevel="0" collapsed="false">
      <c r="A8" s="23" t="n">
        <v>2</v>
      </c>
      <c r="B8" s="16" t="n">
        <f aca="false">TCE+MV_FIX_N+MV_TIME_N+(DEP_NIB+DEP_SAV)*(1-B$7)*$A8*SHOCK*(1-TAX)</f>
        <v>98715.5156249999</v>
      </c>
      <c r="C8" s="16" t="n">
        <f aca="false">TCE+MV_FIX_N+MV_TIME_N+(DEP_NIB+DEP_SAV)*(1-C$7)*$A8*SHOCK*(1-TAX)</f>
        <v>50903.0156249999</v>
      </c>
      <c r="D8" s="16" t="n">
        <f aca="false">TCE+MV_FIX_N+MV_TIME_N+(DEP_NIB+DEP_SAV)*(1-D$7)*$A8*SHOCK*(1-TAX)</f>
        <v>3090.51562499997</v>
      </c>
      <c r="E8" s="16" t="n">
        <f aca="false">TCE+MV_FIX_N+MV_TIME_N+(DEP_NIB+DEP_SAV)*(1-E$7)*$A8*SHOCK*(1-TAX)</f>
        <v>-35159.4843750001</v>
      </c>
      <c r="F8" s="16" t="n">
        <f aca="false">TCE+MV_FIX_N+MV_TIME_N+(DEP_NIB+DEP_SAV)*(1-F$7)*$A8*SHOCK*(1-TAX)</f>
        <v>-44721.9843750001</v>
      </c>
    </row>
    <row r="9" customFormat="false" ht="15" hidden="false" customHeight="false" outlineLevel="0" collapsed="false">
      <c r="A9" s="24" t="n">
        <v>3</v>
      </c>
      <c r="B9" s="25" t="n">
        <f aca="false">TCE+MV_FIX_N+MV_TIME_N+(DEP_NIB+DEP_SAV)*(1-B$7)*$A9*SHOCK*(1-TAX)</f>
        <v>226215.515625</v>
      </c>
      <c r="C9" s="25" t="n">
        <f aca="false">TCE+MV_FIX_N+MV_TIME_N+(DEP_NIB+DEP_SAV)*(1-C$7)*$A9*SHOCK*(1-TAX)</f>
        <v>154496.765625</v>
      </c>
      <c r="D9" s="25" t="n">
        <f aca="false">TCE+MV_FIX_N+MV_TIME_N+(DEP_NIB+DEP_SAV)*(1-D$7)*$A9*SHOCK*(1-TAX)</f>
        <v>82778.0156249999</v>
      </c>
      <c r="E9" s="25" t="n">
        <f aca="false">TCE+MV_FIX_N+MV_TIME_N+(DEP_NIB+DEP_SAV)*(1-E$7)*$A9*SHOCK*(1-TAX)</f>
        <v>25403.015625</v>
      </c>
      <c r="F9" s="25" t="n">
        <f aca="false">TCE+MV_FIX_N+MV_TIME_N+(DEP_NIB+DEP_SAV)*(1-F$7)*$A9*SHOCK*(1-TAX)</f>
        <v>11059.265625</v>
      </c>
    </row>
    <row r="10" customFormat="false" ht="15" hidden="false" customHeight="false" outlineLevel="0" collapsed="false">
      <c r="A10" s="23" t="n">
        <v>4.2</v>
      </c>
      <c r="B10" s="16" t="n">
        <f aca="false">TCE+MV_FIX_N+MV_TIME_N+(DEP_NIB+DEP_SAV)*(1-B$7)*$A10*SHOCK*(1-TAX)</f>
        <v>379215.515625</v>
      </c>
      <c r="C10" s="16" t="n">
        <f aca="false">TCE+MV_FIX_N+MV_TIME_N+(DEP_NIB+DEP_SAV)*(1-C$7)*$A10*SHOCK*(1-TAX)</f>
        <v>278809.265625</v>
      </c>
      <c r="D10" s="16" t="n">
        <f aca="false">TCE+MV_FIX_N+MV_TIME_N+(DEP_NIB+DEP_SAV)*(1-D$7)*$A10*SHOCK*(1-TAX)</f>
        <v>178403.015625</v>
      </c>
      <c r="E10" s="16" t="n">
        <f aca="false">TCE+MV_FIX_N+MV_TIME_N+(DEP_NIB+DEP_SAV)*(1-E$7)*$A10*SHOCK*(1-TAX)</f>
        <v>98078.0156249999</v>
      </c>
      <c r="F10" s="16" t="n">
        <f aca="false">TCE+MV_FIX_N+MV_TIME_N+(DEP_NIB+DEP_SAV)*(1-F$7)*$A10*SHOCK*(1-TAX)</f>
        <v>77996.7656249999</v>
      </c>
    </row>
    <row r="11" customFormat="false" ht="15" hidden="false" customHeight="false" outlineLevel="0" collapsed="false">
      <c r="A11" s="24" t="n">
        <v>5</v>
      </c>
      <c r="B11" s="25" t="n">
        <f aca="false">TCE+MV_FIX_N+MV_TIME_N+(DEP_NIB+DEP_SAV)*(1-B$7)*$A11*SHOCK*(1-TAX)</f>
        <v>481215.515625</v>
      </c>
      <c r="C11" s="25" t="n">
        <f aca="false">TCE+MV_FIX_N+MV_TIME_N+(DEP_NIB+DEP_SAV)*(1-C$7)*$A11*SHOCK*(1-TAX)</f>
        <v>361684.265625</v>
      </c>
      <c r="D11" s="25" t="n">
        <f aca="false">TCE+MV_FIX_N+MV_TIME_N+(DEP_NIB+DEP_SAV)*(1-D$7)*$A11*SHOCK*(1-TAX)</f>
        <v>242153.015625</v>
      </c>
      <c r="E11" s="25" t="n">
        <f aca="false">TCE+MV_FIX_N+MV_TIME_N+(DEP_NIB+DEP_SAV)*(1-E$7)*$A11*SHOCK*(1-TAX)</f>
        <v>146528.015625</v>
      </c>
      <c r="F11" s="25" t="n">
        <f aca="false">TCE+MV_FIX_N+MV_TIME_N+(DEP_NIB+DEP_SAV)*(1-F$7)*$A11*SHOCK*(1-TAX)</f>
        <v>122621.765625</v>
      </c>
    </row>
    <row r="12" customFormat="false" ht="15" hidden="false" customHeight="false" outlineLevel="0" collapsed="false">
      <c r="A12" s="23" t="n">
        <v>6</v>
      </c>
      <c r="B12" s="16" t="n">
        <f aca="false">TCE+MV_FIX_N+MV_TIME_N+(DEP_NIB+DEP_SAV)*(1-B$7)*$A12*SHOCK*(1-TAX)</f>
        <v>608715.515625</v>
      </c>
      <c r="C12" s="16" t="n">
        <f aca="false">TCE+MV_FIX_N+MV_TIME_N+(DEP_NIB+DEP_SAV)*(1-C$7)*$A12*SHOCK*(1-TAX)</f>
        <v>465278.015625</v>
      </c>
      <c r="D12" s="16" t="n">
        <f aca="false">TCE+MV_FIX_N+MV_TIME_N+(DEP_NIB+DEP_SAV)*(1-D$7)*$A12*SHOCK*(1-TAX)</f>
        <v>321840.515625</v>
      </c>
      <c r="E12" s="16" t="n">
        <f aca="false">TCE+MV_FIX_N+MV_TIME_N+(DEP_NIB+DEP_SAV)*(1-E$7)*$A12*SHOCK*(1-TAX)</f>
        <v>207090.515625</v>
      </c>
      <c r="F12" s="16" t="n">
        <f aca="false">TCE+MV_FIX_N+MV_TIME_N+(DEP_NIB+DEP_SAV)*(1-F$7)*$A12*SHOCK*(1-TAX)</f>
        <v>178403.015625</v>
      </c>
    </row>
    <row r="14" customFormat="false" ht="15" hidden="false" customHeight="false" outlineLevel="0" collapsed="false">
      <c r="A14" s="7" t="s">
        <v>244</v>
      </c>
    </row>
    <row r="16" customFormat="false" ht="15" hidden="false" customHeight="false" outlineLevel="0" collapsed="false">
      <c r="A16" s="4" t="s">
        <v>245</v>
      </c>
    </row>
    <row r="18" customFormat="false" ht="15" hidden="false" customHeight="false" outlineLevel="0" collapsed="false">
      <c r="A18" s="9" t="s">
        <v>246</v>
      </c>
      <c r="B18" s="16" t="n">
        <f aca="false">(DEP_NIB+DEP_SAV)*(1-B7)*A12*SHOCK*(1-TAX)</f>
        <v>765000</v>
      </c>
    </row>
    <row r="19" customFormat="false" ht="15" hidden="false" customHeight="false" outlineLevel="0" collapsed="false">
      <c r="A19" s="9" t="s">
        <v>247</v>
      </c>
      <c r="B19" s="16" t="n">
        <f aca="false">(DEP_NIB+DEP_SAV)*(1-F7)*A8*SHOCK*(1-TAX)</f>
        <v>111562.5</v>
      </c>
    </row>
    <row r="20" customFormat="false" ht="15" hidden="false" customHeight="false" outlineLevel="0" collapsed="false">
      <c r="A20" s="14" t="s">
        <v>248</v>
      </c>
      <c r="B20" s="20" t="n">
        <f aca="false">B18/B19</f>
        <v>6.85714285714286</v>
      </c>
    </row>
    <row r="21" customFormat="false" ht="15" hidden="false" customHeight="false" outlineLevel="0" collapsed="false">
      <c r="A21" s="14" t="s">
        <v>249</v>
      </c>
      <c r="B21" s="15" t="n">
        <f aca="false">B12-F8</f>
        <v>653437.5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3" min="2" style="0" width="24"/>
    <col collapsed="false" customWidth="true" hidden="false" outlineLevel="0" max="4" min="4" style="0" width="14"/>
    <col collapsed="false" customWidth="true" hidden="false" outlineLevel="0" max="5" min="5" style="0" width="24"/>
    <col collapsed="false" customWidth="true" hidden="false" outlineLevel="0" max="6" min="6" style="0" width="14"/>
  </cols>
  <sheetData>
    <row r="1" customFormat="false" ht="24" hidden="false" customHeight="true" outlineLevel="0" collapsed="false">
      <c r="A1" s="1" t="s">
        <v>250</v>
      </c>
    </row>
    <row r="2" customFormat="false" ht="15" hidden="false" customHeight="false" outlineLevel="0" collapsed="false">
      <c r="A2" s="2" t="s">
        <v>251</v>
      </c>
    </row>
    <row r="3" customFormat="false" ht="15" hidden="false" customHeight="false" outlineLevel="0" collapsed="false">
      <c r="A3" s="3"/>
      <c r="B3" s="3"/>
      <c r="C3" s="3"/>
      <c r="D3" s="3"/>
    </row>
    <row r="6" customFormat="false" ht="31.5" hidden="false" customHeight="true" outlineLevel="0" collapsed="false">
      <c r="A6" s="21" t="s">
        <v>252</v>
      </c>
      <c r="B6" s="26" t="s">
        <v>253</v>
      </c>
      <c r="C6" s="26" t="s">
        <v>254</v>
      </c>
      <c r="D6" s="26" t="s">
        <v>255</v>
      </c>
      <c r="E6" s="26" t="s">
        <v>256</v>
      </c>
      <c r="F6" s="26" t="s">
        <v>257</v>
      </c>
    </row>
    <row r="7" customFormat="false" ht="15" hidden="false" customHeight="false" outlineLevel="0" collapsed="false">
      <c r="A7" s="9" t="s">
        <v>258</v>
      </c>
      <c r="B7" s="16" t="n">
        <f aca="false">WGAP*-0.01</f>
        <v>9820</v>
      </c>
      <c r="C7" s="16" t="n">
        <f aca="false">(AFS*(-DUR_AFS*-0.01+0.5*CVX_AFS*-0.01^2)+HTM*(-DUR_HTM*-0.01+0.5*CVX_HTM*-0.01^2)+LOANS_FIX*(-DUR_FIX*-0.01+0.5*CVX_FIX*-0.01^2)+DEP_TIME*(1-BETA_TIME)*DUR_TIME*-0.01+(DEP_NIB+DEP_SAV)*(1-BETA_SAV)*DEP_LIFE*-0.01)*(1-TAX)</f>
        <v>123491.25</v>
      </c>
      <c r="D7" s="19" t="n">
        <f aca="false">C7/B7</f>
        <v>12.575483706721</v>
      </c>
      <c r="E7" s="16" t="n">
        <f aca="false">B7*(1-TAX)</f>
        <v>7365</v>
      </c>
      <c r="F7" s="19" t="n">
        <f aca="false">C7/E7</f>
        <v>16.7673116089613</v>
      </c>
    </row>
    <row r="8" customFormat="false" ht="15" hidden="false" customHeight="false" outlineLevel="0" collapsed="false">
      <c r="A8" s="27" t="s">
        <v>259</v>
      </c>
      <c r="B8" s="25" t="n">
        <f aca="false">WGAP*0.01</f>
        <v>-9820</v>
      </c>
      <c r="C8" s="25" t="n">
        <f aca="false">(AFS*(-DUR_AFS*0.01+0.5*CVX_AFS*0.01^2)+HTM*(-DUR_HTM*0.01+0.5*CVX_HTM*0.01^2)+LOANS_FIX*(-DUR_FIX*0.01+0.5*CVX_FIX*0.01^2)+DEP_TIME*(1-BETA_TIME)*DUR_TIME*0.01+(DEP_NIB+DEP_SAV)*(1-BETA_SAV)*DEP_LIFE*0.01)*(1-TAX)</f>
        <v>-108786.75</v>
      </c>
      <c r="D8" s="28" t="n">
        <f aca="false">C8/B8</f>
        <v>11.0780804480652</v>
      </c>
      <c r="E8" s="25" t="n">
        <f aca="false">B8*(1-TAX)</f>
        <v>-7365</v>
      </c>
      <c r="F8" s="28" t="n">
        <f aca="false">C8/E8</f>
        <v>14.7707739307536</v>
      </c>
    </row>
    <row r="9" customFormat="false" ht="15" hidden="false" customHeight="false" outlineLevel="0" collapsed="false">
      <c r="A9" s="9" t="s">
        <v>260</v>
      </c>
      <c r="B9" s="16" t="n">
        <f aca="false">WGAP*0.02</f>
        <v>-19640</v>
      </c>
      <c r="C9" s="16" t="n">
        <f aca="false">(AFS*(-DUR_AFS*0.02+0.5*CVX_AFS*0.02^2)+HTM*(-DUR_HTM*0.02+0.5*CVX_HTM*0.02^2)+LOANS_FIX*(-DUR_FIX*0.02+0.5*CVX_FIX*0.02^2)+DEP_TIME*(1-BETA_TIME)*DUR_TIME*0.02+(DEP_NIB+DEP_SAV)*(1-BETA_SAV)*DEP_LIFE*0.02)*(1-TAX)</f>
        <v>-202869</v>
      </c>
      <c r="D9" s="19" t="n">
        <f aca="false">C9/B9</f>
        <v>10.3293788187373</v>
      </c>
      <c r="E9" s="16" t="n">
        <f aca="false">B9*(1-TAX)</f>
        <v>-14730</v>
      </c>
      <c r="F9" s="19" t="n">
        <f aca="false">C9/E9</f>
        <v>13.7725050916497</v>
      </c>
    </row>
    <row r="10" customFormat="false" ht="15" hidden="false" customHeight="false" outlineLevel="0" collapsed="false">
      <c r="A10" s="27" t="s">
        <v>261</v>
      </c>
      <c r="B10" s="25" t="n">
        <f aca="false">WGAP*0.03</f>
        <v>-29460</v>
      </c>
      <c r="C10" s="25" t="n">
        <f aca="false">(AFS*(-DUR_AFS*0.03+0.5*CVX_AFS*0.03^2)+HTM*(-DUR_HTM*0.03+0.5*CVX_HTM*0.03^2)+LOANS_FIX*(-DUR_FIX*0.03+0.5*CVX_FIX*0.03^2)+DEP_TIME*(1-BETA_TIME)*DUR_TIME*0.03+(DEP_NIB+DEP_SAV)*(1-BETA_SAV)*DEP_LIFE*0.03)*(1-TAX)</f>
        <v>-282246.75</v>
      </c>
      <c r="D10" s="28" t="n">
        <f aca="false">C10/B10</f>
        <v>9.58067718940936</v>
      </c>
      <c r="E10" s="25" t="n">
        <f aca="false">B10*(1-TAX)</f>
        <v>-22095</v>
      </c>
      <c r="F10" s="28" t="n">
        <f aca="false">C10/E10</f>
        <v>12.7742362525458</v>
      </c>
    </row>
    <row r="11" customFormat="false" ht="15" hidden="false" customHeight="false" outlineLevel="0" collapsed="false">
      <c r="A11" s="9" t="s">
        <v>262</v>
      </c>
      <c r="B11" s="16" t="n">
        <f aca="false">WGAP*0.04</f>
        <v>-39280</v>
      </c>
      <c r="C11" s="16" t="n">
        <f aca="false">(AFS*(-DUR_AFS*0.04+0.5*CVX_AFS*0.04^2)+HTM*(-DUR_HTM*0.04+0.5*CVX_HTM*0.04^2)+LOANS_FIX*(-DUR_FIX*0.04+0.5*CVX_FIX*0.04^2)+DEP_TIME*(1-BETA_TIME)*DUR_TIME*0.04+(DEP_NIB+DEP_SAV)*(1-BETA_SAV)*DEP_LIFE*0.04)*(1-TAX)</f>
        <v>-346920</v>
      </c>
      <c r="D11" s="19" t="n">
        <f aca="false">C11/B11</f>
        <v>8.83197556008147</v>
      </c>
      <c r="E11" s="16" t="n">
        <f aca="false">B11*(1-TAX)</f>
        <v>-29460</v>
      </c>
      <c r="F11" s="19" t="n">
        <f aca="false">C11/E11</f>
        <v>11.775967413442</v>
      </c>
    </row>
    <row r="13" customFormat="false" ht="15" hidden="false" customHeight="false" outlineLevel="0" collapsed="false">
      <c r="A13" s="9" t="s">
        <v>263</v>
      </c>
      <c r="C13" s="18" t="n">
        <f aca="false">4*D_EVE_100/D_EVE_400-1</f>
        <v>0.254315115876859</v>
      </c>
    </row>
    <row r="14" customFormat="false" ht="15" hidden="false" customHeight="false" outlineLevel="0" collapsed="false">
      <c r="A14" s="9" t="s">
        <v>264</v>
      </c>
      <c r="C14" s="20" t="n">
        <f aca="false">F8</f>
        <v>14.7707739307536</v>
      </c>
    </row>
    <row r="15" customFormat="false" ht="15" hidden="false" customHeight="false" outlineLevel="0" collapsed="false">
      <c r="A15" s="7"/>
    </row>
    <row r="16" customFormat="false" ht="15" hidden="false" customHeight="false" outlineLevel="0" collapsed="false">
      <c r="A16" s="7" t="s">
        <v>265</v>
      </c>
    </row>
    <row r="17" customFormat="false" ht="15" hidden="false" customHeight="false" outlineLevel="0" collapsed="false">
      <c r="A17" s="7" t="s">
        <v>266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4"/>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267</v>
      </c>
    </row>
    <row r="2" customFormat="false" ht="15" hidden="false" customHeight="false" outlineLevel="0" collapsed="false">
      <c r="A2" s="2" t="s">
        <v>268</v>
      </c>
    </row>
    <row r="3" customFormat="false" ht="15" hidden="false" customHeight="false" outlineLevel="0" collapsed="false">
      <c r="A3" s="3"/>
      <c r="B3" s="3"/>
      <c r="C3" s="3"/>
      <c r="D3" s="3"/>
      <c r="E3" s="3"/>
      <c r="F3" s="3"/>
    </row>
    <row r="5" customFormat="false" ht="15" hidden="false" customHeight="false" outlineLevel="0" collapsed="false">
      <c r="A5" s="7" t="s">
        <v>269</v>
      </c>
    </row>
    <row r="7" customFormat="false" ht="31.5" hidden="false" customHeight="true" outlineLevel="0" collapsed="false">
      <c r="A7" s="21" t="s">
        <v>270</v>
      </c>
      <c r="B7" s="26" t="s">
        <v>271</v>
      </c>
      <c r="C7" s="26" t="s">
        <v>272</v>
      </c>
      <c r="D7" s="26" t="s">
        <v>273</v>
      </c>
      <c r="E7" s="26" t="s">
        <v>274</v>
      </c>
      <c r="F7" s="26" t="s">
        <v>275</v>
      </c>
    </row>
    <row r="8" customFormat="false" ht="15" hidden="false" customHeight="false" outlineLevel="0" collapsed="false">
      <c r="A8" s="9" t="s">
        <v>276</v>
      </c>
      <c r="B8" s="9" t="s">
        <v>277</v>
      </c>
      <c r="C8" s="29" t="n">
        <v>-982000</v>
      </c>
      <c r="D8" s="29" t="n">
        <f aca="false">WGAP</f>
        <v>-982000</v>
      </c>
      <c r="E8" s="30" t="n">
        <f aca="false">D8-C8</f>
        <v>0</v>
      </c>
      <c r="F8" s="31" t="str">
        <f aca="false">IF(ABS(E8)&lt;=0.01,"PASS","FAIL")</f>
        <v>PASS</v>
      </c>
    </row>
    <row r="9" customFormat="false" ht="15" hidden="false" customHeight="false" outlineLevel="0" collapsed="false">
      <c r="A9" s="27" t="s">
        <v>276</v>
      </c>
      <c r="B9" s="27" t="s">
        <v>166</v>
      </c>
      <c r="C9" s="32" t="n">
        <v>-41735</v>
      </c>
      <c r="D9" s="32" t="n">
        <f aca="false">GAP_PREDICT</f>
        <v>-41735</v>
      </c>
      <c r="E9" s="33" t="n">
        <f aca="false">D9-C9</f>
        <v>0</v>
      </c>
      <c r="F9" s="34" t="str">
        <f aca="false">IF(ABS(E9)&lt;=0.01,"PASS","FAIL")</f>
        <v>PASS</v>
      </c>
    </row>
    <row r="10" customFormat="false" ht="15" hidden="false" customHeight="false" outlineLevel="0" collapsed="false">
      <c r="A10" s="9" t="s">
        <v>276</v>
      </c>
      <c r="B10" s="9" t="s">
        <v>167</v>
      </c>
      <c r="C10" s="29" t="n">
        <v>-41735</v>
      </c>
      <c r="D10" s="29" t="n">
        <f aca="false">NII_MOVE</f>
        <v>-41735</v>
      </c>
      <c r="E10" s="30" t="n">
        <f aca="false">D10-C10</f>
        <v>0</v>
      </c>
      <c r="F10" s="31" t="str">
        <f aca="false">IF(ABS(E10)&lt;=0.01,"PASS","FAIL")</f>
        <v>PASS</v>
      </c>
    </row>
    <row r="11" customFormat="false" ht="15" hidden="false" customHeight="false" outlineLevel="0" collapsed="false">
      <c r="A11" s="27" t="s">
        <v>278</v>
      </c>
      <c r="B11" s="27" t="s">
        <v>180</v>
      </c>
      <c r="C11" s="35" t="n">
        <v>-0.26737812</v>
      </c>
      <c r="D11" s="35" t="n">
        <f aca="false">PX_HTM</f>
        <v>-0.267378125</v>
      </c>
      <c r="E11" s="33" t="n">
        <f aca="false">D11-C11</f>
        <v>-5.0000000251238E-009</v>
      </c>
      <c r="F11" s="34" t="str">
        <f aca="false">IF(ABS(E11)&lt;=0.00000005,"PASS","FAIL")</f>
        <v>PASS</v>
      </c>
    </row>
    <row r="12" customFormat="false" ht="15" hidden="false" customHeight="false" outlineLevel="0" collapsed="false">
      <c r="A12" s="9" t="s">
        <v>278</v>
      </c>
      <c r="B12" s="9" t="s">
        <v>279</v>
      </c>
      <c r="C12" s="29" t="n">
        <v>435093.75</v>
      </c>
      <c r="D12" s="29" t="n">
        <f aca="false">FRANCHISE_N</f>
        <v>435093.75</v>
      </c>
      <c r="E12" s="30" t="n">
        <f aca="false">D12-C12</f>
        <v>0</v>
      </c>
      <c r="F12" s="31" t="str">
        <f aca="false">IF(ABS(E12)&lt;=0.01,"PASS","FAIL")</f>
        <v>PASS</v>
      </c>
    </row>
    <row r="13" customFormat="false" ht="15" hidden="false" customHeight="false" outlineLevel="0" collapsed="false">
      <c r="A13" s="27" t="s">
        <v>278</v>
      </c>
      <c r="B13" s="27" t="s">
        <v>280</v>
      </c>
      <c r="C13" s="32" t="n">
        <v>278809.265625</v>
      </c>
      <c r="D13" s="32" t="n">
        <f aca="false">EVE</f>
        <v>278809.265625</v>
      </c>
      <c r="E13" s="33" t="n">
        <f aca="false">D13-C13</f>
        <v>0</v>
      </c>
      <c r="F13" s="34" t="str">
        <f aca="false">IF(ABS(E13)&lt;=0.01,"PASS","FAIL")</f>
        <v>PASS</v>
      </c>
    </row>
    <row r="14" customFormat="false" ht="15" hidden="false" customHeight="false" outlineLevel="0" collapsed="false">
      <c r="A14" s="9" t="s">
        <v>281</v>
      </c>
      <c r="B14" s="9" t="s">
        <v>282</v>
      </c>
      <c r="C14" s="29" t="n">
        <v>-9820</v>
      </c>
      <c r="D14" s="29" t="n">
        <f aca="false">D_NII_100</f>
        <v>-9820</v>
      </c>
      <c r="E14" s="30" t="n">
        <f aca="false">D14-C14</f>
        <v>0</v>
      </c>
      <c r="F14" s="31" t="str">
        <f aca="false">IF(ABS(E14)&lt;=0.01,"PASS","FAIL")</f>
        <v>PASS</v>
      </c>
    </row>
    <row r="15" customFormat="false" ht="15" hidden="false" customHeight="false" outlineLevel="0" collapsed="false">
      <c r="A15" s="27" t="s">
        <v>281</v>
      </c>
      <c r="B15" s="27" t="s">
        <v>283</v>
      </c>
      <c r="C15" s="32" t="n">
        <v>-108786.75</v>
      </c>
      <c r="D15" s="32" t="n">
        <f aca="false">D_EVE_100</f>
        <v>-108786.75</v>
      </c>
      <c r="E15" s="33" t="n">
        <f aca="false">D15-C15</f>
        <v>0</v>
      </c>
      <c r="F15" s="34" t="str">
        <f aca="false">IF(ABS(E15)&lt;=0.01,"PASS","FAIL")</f>
        <v>PASS</v>
      </c>
    </row>
    <row r="16" customFormat="false" ht="15" hidden="false" customHeight="false" outlineLevel="0" collapsed="false">
      <c r="A16" s="9" t="s">
        <v>284</v>
      </c>
      <c r="B16" s="9" t="s">
        <v>234</v>
      </c>
      <c r="C16" s="36" t="n">
        <v>0.08701875</v>
      </c>
      <c r="D16" s="36" t="n">
        <f aca="false">DEP_PREMIUM</f>
        <v>0.08701875</v>
      </c>
      <c r="E16" s="30" t="n">
        <f aca="false">D16-C16</f>
        <v>0</v>
      </c>
      <c r="F16" s="31" t="str">
        <f aca="false">IF(ABS(E16)&lt;=0.00000005,"PASS","FAIL")</f>
        <v>PASS</v>
      </c>
    </row>
    <row r="17" customFormat="false" ht="15" hidden="false" customHeight="false" outlineLevel="0" collapsed="false">
      <c r="A17" s="27" t="s">
        <v>284</v>
      </c>
      <c r="B17" s="27" t="s">
        <v>236</v>
      </c>
      <c r="C17" s="35" t="n">
        <v>0.5640881</v>
      </c>
      <c r="D17" s="35" t="n">
        <f aca="false">DISC_CET1</f>
        <v>0.564088077509381</v>
      </c>
      <c r="E17" s="33" t="n">
        <f aca="false">D17-C17</f>
        <v>-2.24906190338103E-008</v>
      </c>
      <c r="F17" s="34" t="str">
        <f aca="false">IF(ABS(E17)&lt;=0.00000005,"PASS","FAIL")</f>
        <v>PASS</v>
      </c>
    </row>
    <row r="18" customFormat="false" ht="15" hidden="false" customHeight="false" outlineLevel="0" collapsed="false">
      <c r="A18" s="9" t="s">
        <v>284</v>
      </c>
      <c r="B18" s="9" t="s">
        <v>238</v>
      </c>
      <c r="C18" s="29" t="n">
        <v>43509.375</v>
      </c>
      <c r="D18" s="29" t="n">
        <f aca="false">CDI_AMORT</f>
        <v>43509.375</v>
      </c>
      <c r="E18" s="30" t="n">
        <f aca="false">D18-C18</f>
        <v>0</v>
      </c>
      <c r="F18" s="31" t="str">
        <f aca="false">IF(ABS(E18)&lt;=0.01,"PASS","FAIL")</f>
        <v>PASS</v>
      </c>
    </row>
    <row r="19" customFormat="false" ht="15" hidden="false" customHeight="false" outlineLevel="0" collapsed="false">
      <c r="A19" s="27" t="s">
        <v>284</v>
      </c>
      <c r="B19" s="27" t="s">
        <v>285</v>
      </c>
      <c r="C19" s="37" t="n">
        <v>1.57642663</v>
      </c>
      <c r="D19" s="37" t="n">
        <f aca="false">CDI_VS_INCOME</f>
        <v>1.57642663043478</v>
      </c>
      <c r="E19" s="33" t="n">
        <f aca="false">D19-C19</f>
        <v>4.3478265432384E-010</v>
      </c>
      <c r="F19" s="34" t="str">
        <f aca="false">IF(ABS(E19)&lt;=0.00000005,"PASS","FAIL")</f>
        <v>PASS</v>
      </c>
    </row>
    <row r="20" customFormat="false" ht="15" hidden="false" customHeight="false" outlineLevel="0" collapsed="false">
      <c r="A20" s="9" t="s">
        <v>278</v>
      </c>
      <c r="B20" s="9" t="s">
        <v>286</v>
      </c>
      <c r="C20" s="29" t="n">
        <v>608715.515625</v>
      </c>
      <c r="D20" s="29" t="n">
        <f aca="false">Surface!B12</f>
        <v>608715.515625</v>
      </c>
      <c r="E20" s="30" t="n">
        <f aca="false">D20-C20</f>
        <v>0</v>
      </c>
      <c r="F20" s="31" t="str">
        <f aca="false">IF(ABS(E20)&lt;=0.01,"PASS","FAIL")</f>
        <v>PASS</v>
      </c>
    </row>
    <row r="21" customFormat="false" ht="15" hidden="false" customHeight="false" outlineLevel="0" collapsed="false">
      <c r="A21" s="9" t="s">
        <v>278</v>
      </c>
      <c r="B21" s="9" t="s">
        <v>287</v>
      </c>
      <c r="C21" s="29" t="n">
        <v>-44721.984375</v>
      </c>
      <c r="D21" s="29" t="n">
        <f aca="false">Surface!F8</f>
        <v>-44721.9843750001</v>
      </c>
      <c r="E21" s="30" t="n">
        <f aca="false">D21-C21</f>
        <v>0</v>
      </c>
      <c r="F21" s="31" t="str">
        <f aca="false">IF(ABS(E21)&lt;=0.01,"PASS","FAIL")</f>
        <v>PASS</v>
      </c>
    </row>
    <row r="22" customFormat="false" ht="15" hidden="false" customHeight="false" outlineLevel="0" collapsed="false">
      <c r="A22" s="9" t="s">
        <v>278</v>
      </c>
      <c r="B22" s="9" t="s">
        <v>288</v>
      </c>
      <c r="C22" s="29" t="n">
        <v>278809.265625</v>
      </c>
      <c r="D22" s="29" t="n">
        <f aca="false">Surface!C10</f>
        <v>278809.265625</v>
      </c>
      <c r="E22" s="30" t="n">
        <f aca="false">D22-C22</f>
        <v>0</v>
      </c>
      <c r="F22" s="31" t="str">
        <f aca="false">IF(ABS(E22)&lt;=0.01,"PASS","FAIL")</f>
        <v>PASS</v>
      </c>
    </row>
    <row r="23" customFormat="false" ht="15" hidden="false" customHeight="false" outlineLevel="0" collapsed="false">
      <c r="A23" s="9" t="s">
        <v>278</v>
      </c>
      <c r="B23" s="9" t="s">
        <v>289</v>
      </c>
      <c r="C23" s="30" t="n">
        <v>6.85714286</v>
      </c>
      <c r="D23" s="30" t="n">
        <f aca="false">Surface!B20</f>
        <v>6.85714285714286</v>
      </c>
      <c r="E23" s="30" t="n">
        <f aca="false">D23-C23</f>
        <v>-2.85714119030445E-009</v>
      </c>
      <c r="F23" s="31" t="str">
        <f aca="false">IF(ABS(E23)&lt;=0.00000005,"PASS","FAIL")</f>
        <v>PASS</v>
      </c>
    </row>
    <row r="24" customFormat="false" ht="15" hidden="false" customHeight="false" outlineLevel="0" collapsed="false">
      <c r="A24" s="9" t="s">
        <v>281</v>
      </c>
      <c r="B24" s="9" t="s">
        <v>290</v>
      </c>
      <c r="C24" s="30" t="n">
        <v>11.07808045</v>
      </c>
      <c r="D24" s="30" t="n">
        <f aca="false">'Two horizons'!D8</f>
        <v>11.0780804480652</v>
      </c>
      <c r="E24" s="30" t="n">
        <f aca="false">D24-C24</f>
        <v>-1.93482740939999E-009</v>
      </c>
      <c r="F24" s="31" t="str">
        <f aca="false">IF(ABS(E24)&lt;=0.00000005,"PASS","FAIL")</f>
        <v>PASS</v>
      </c>
    </row>
    <row r="25" customFormat="false" ht="15" hidden="false" customHeight="false" outlineLevel="0" collapsed="false">
      <c r="A25" s="9" t="s">
        <v>281</v>
      </c>
      <c r="B25" s="9" t="s">
        <v>291</v>
      </c>
      <c r="C25" s="30" t="n">
        <v>14.77077394</v>
      </c>
      <c r="D25" s="30" t="n">
        <f aca="false">RATIO_100_SAME</f>
        <v>14.7707739307536</v>
      </c>
      <c r="E25" s="30" t="n">
        <f aca="false">D25-C25</f>
        <v>-9.24643472899334E-009</v>
      </c>
      <c r="F25" s="31" t="str">
        <f aca="false">IF(ABS(E25)&lt;=0.00000005,"PASS","FAIL")</f>
        <v>PASS</v>
      </c>
    </row>
    <row r="26" customFormat="false" ht="15" hidden="false" customHeight="false" outlineLevel="0" collapsed="false">
      <c r="A26" s="9" t="s">
        <v>281</v>
      </c>
      <c r="B26" s="9" t="s">
        <v>263</v>
      </c>
      <c r="C26" s="30" t="n">
        <v>0.25431512</v>
      </c>
      <c r="D26" s="30" t="n">
        <f aca="false">'Two horizons'!C13</f>
        <v>0.254315115876859</v>
      </c>
      <c r="E26" s="30" t="n">
        <f aca="false">D26-C26</f>
        <v>-4.12314071773778E-009</v>
      </c>
      <c r="F26" s="31" t="str">
        <f aca="false">IF(ABS(E26)&lt;=0.00000005,"PASS","FAIL")</f>
        <v>PASS</v>
      </c>
    </row>
    <row r="27" customFormat="false" ht="15" hidden="false" customHeight="false" outlineLevel="0" collapsed="false">
      <c r="A27" s="9" t="s">
        <v>284</v>
      </c>
      <c r="B27" s="9" t="s">
        <v>292</v>
      </c>
      <c r="C27" s="30" t="n">
        <v>1.77710277</v>
      </c>
      <c r="D27" s="30" t="n">
        <f aca="false">'Economic value'!B31</f>
        <v>1.77710277497758</v>
      </c>
      <c r="E27" s="30" t="n">
        <f aca="false">D27-C27</f>
        <v>4.9775772392735E-009</v>
      </c>
      <c r="F27" s="31" t="str">
        <f aca="false">IF(ABS(E27)&lt;=0.00000005,"PASS","FAIL")</f>
        <v>PASS</v>
      </c>
    </row>
    <row r="29" customFormat="false" ht="15" hidden="false" customHeight="false" outlineLevel="0" collapsed="false">
      <c r="B29" s="14" t="s">
        <v>293</v>
      </c>
      <c r="C29" s="38" t="n">
        <f aca="false">COUNTIF(F8:F27,"PASS")</f>
        <v>20</v>
      </c>
    </row>
    <row r="30" customFormat="false" ht="15" hidden="false" customHeight="false" outlineLevel="0" collapsed="false">
      <c r="B30" s="14" t="s">
        <v>294</v>
      </c>
      <c r="C30" s="38" t="n">
        <f aca="false">COUNTIF(F8:F27,"FAIL")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2026-08-30T20:04:50Z</dcterms:created>
  <dc:creator>openpyxl</dc:creator>
  <dc:description/>
  <dc:language>en-US</dc:language>
  <cp:lastModifiedBy/>
  <dcterms:modified xsi:type="dcterms:W3CDTF">2026-09-24T19:45:15Z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