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xl/_rels/workbook.xml.rels" ContentType="application/vnd.openxmlformats-package.relationships+xml"/>
  <Override PartName="/xl/workbook.xml" ContentType="application/vnd.openxmlformats-officedocument.spreadsheetml.sheet.main+xml"/>
  <Override PartName="/xl/theme/theme1.xml" ContentType="application/vnd.openxmlformats-officedocument.theme+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sharedStrings.xml" ContentType="application/vnd.openxmlformats-officedocument.spreadsheetml.sharedStrings+xml"/>
  <Override PartName="/_rels/.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officedocument/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Compatibility="false"/>
  <workbookProtection/>
  <bookViews>
    <workbookView showHorizontalScroll="true" showVerticalScroll="true" showSheetTabs="true" xWindow="0" yWindow="0" windowWidth="16384" windowHeight="8192" tabRatio="600" firstSheet="0" activeTab="0"/>
  </bookViews>
  <sheets>
    <sheet name="Read me" sheetId="1" state="visible" r:id="rId3"/>
    <sheet name="Inputs" sheetId="2" state="visible" r:id="rId4"/>
    <sheet name="Liquidity" sheetId="3" state="visible" r:id="rId5"/>
    <sheet name="Days" sheetId="4" state="visible" r:id="rId6"/>
    <sheet name="Capital" sheetId="5" state="visible" r:id="rId7"/>
    <sheet name="Marks" sheetId="6" state="visible" r:id="rId8"/>
    <sheet name="Margin" sheetId="7" state="visible" r:id="rId9"/>
    <sheet name="Checks" sheetId="8" state="visible" r:id="rId10"/>
  </sheets>
  <definedNames>
    <definedName function="false" hidden="false" name="AFS" vbProcedure="false">Inputs!$B$10</definedName>
    <definedName function="false" hidden="false" name="AFS_MKT" vbProcedure="false">Liquidity!$B$9</definedName>
    <definedName function="false" hidden="false" name="AOCI0" vbProcedure="false">Inputs!$B$57</definedName>
    <definedName function="false" hidden="false" name="AOCI0_N" vbProcedure="false">Capital!$B$8</definedName>
    <definedName function="false" hidden="false" name="ASSETS1" vbProcedure="false">Capital!$B$13</definedName>
    <definedName function="false" hidden="false" name="BETA_SAV" vbProcedure="false">Inputs!$B$46</definedName>
    <definedName function="false" hidden="false" name="BETA_TEST" vbProcedure="false">Inputs!$B$80</definedName>
    <definedName function="false" hidden="false" name="BETA_TIME" vbProcedure="false">Inputs!$B$47</definedName>
    <definedName function="false" hidden="false" name="CAP_STACK" vbProcedure="false">Liquidity!$B$29</definedName>
    <definedName function="false" hidden="false" name="CASH" vbProcedure="false">Inputs!$B$9</definedName>
    <definedName function="false" hidden="false" name="CDI_LIFE" vbProcedure="false">Inputs!$B$83</definedName>
    <definedName function="false" hidden="false" name="CET1_0" vbProcedure="false">Capital!$B$9</definedName>
    <definedName function="false" hidden="false" name="CET1_1" vbProcedure="false">Capital!$B$11</definedName>
    <definedName function="false" hidden="false" name="CET1_2" vbProcedure="false">Capital!$B$12</definedName>
    <definedName function="false" hidden="false" name="COVER" vbProcedure="false">Liquidity!$B$16</definedName>
    <definedName function="false" hidden="false" name="COVER_CONSTRAINED" vbProcedure="false">Liquidity!$B$21</definedName>
    <definedName function="false" hidden="false" name="CVX_AFS" vbProcedure="false">Inputs!$B$41</definedName>
    <definedName function="false" hidden="false" name="CVX_FIX" vbProcedure="false">Inputs!$B$43</definedName>
    <definedName function="false" hidden="false" name="CVX_HTM" vbProcedure="false">Inputs!$B$42</definedName>
    <definedName function="false" hidden="false" name="C_FHLB" vbProcedure="false">Inputs!$B$34</definedName>
    <definedName function="false" hidden="false" name="C_FHLB1" vbProcedure="false">Margin!$B$19</definedName>
    <definedName function="false" hidden="false" name="C_SAV" vbProcedure="false">Inputs!$B$32</definedName>
    <definedName function="false" hidden="false" name="C_SAV1" vbProcedure="false">Margin!$B$17</definedName>
    <definedName function="false" hidden="false" name="C_SUB" vbProcedure="false">Inputs!$B$35</definedName>
    <definedName function="false" hidden="false" name="C_TIME" vbProcedure="false">Inputs!$B$33</definedName>
    <definedName function="false" hidden="false" name="C_TIME1" vbProcedure="false">Margin!$B$18</definedName>
    <definedName function="false" hidden="false" name="DAYS_FAST" vbProcedure="false">Liquidity!$B$25</definedName>
    <definedName function="false" hidden="false" name="DAYS_SLOW" vbProcedure="false">Liquidity!$B$24</definedName>
    <definedName function="false" hidden="false" name="DEP_LIFE" vbProcedure="false">Inputs!$B$45</definedName>
    <definedName function="false" hidden="false" name="DEP_NIB" vbProcedure="false">Inputs!$B$16</definedName>
    <definedName function="false" hidden="false" name="DEP_SAV" vbProcedure="false">Inputs!$B$17</definedName>
    <definedName function="false" hidden="false" name="DEP_TIME" vbProcedure="false">Inputs!$B$18</definedName>
    <definedName function="false" hidden="false" name="DIVIDEND" vbProcedure="false">Inputs!$B$54</definedName>
    <definedName function="false" hidden="false" name="DUR_AFS" vbProcedure="false">Inputs!$B$38</definedName>
    <definedName function="false" hidden="false" name="DUR_FHLB" vbProcedure="false">Inputs!$B$71</definedName>
    <definedName function="false" hidden="false" name="DUR_FIX" vbProcedure="false">Inputs!$B$40</definedName>
    <definedName function="false" hidden="false" name="DUR_HTM" vbProcedure="false">Inputs!$B$39</definedName>
    <definedName function="false" hidden="false" name="DUR_SUB" vbProcedure="false">Inputs!$B$72</definedName>
    <definedName function="false" hidden="false" name="DUR_TIME" vbProcedure="false">Inputs!$B$44</definedName>
    <definedName function="false" hidden="false" name="EARNING" vbProcedure="false">Margin!$B$12</definedName>
    <definedName function="false" hidden="false" name="EQUITY" vbProcedure="false">Inputs!$B$22</definedName>
    <definedName function="false" hidden="false" name="EQUITY1" vbProcedure="false">Capital!$B$10</definedName>
    <definedName function="false" hidden="false" name="EVE" vbProcedure="false">Capital!$B$16</definedName>
    <definedName function="false" hidden="false" name="EVE_BASE" vbProcedure="false">Capital!$B$17</definedName>
    <definedName function="false" hidden="false" name="EXP0" vbProcedure="false">Margin!$B$10</definedName>
    <definedName function="false" hidden="false" name="EXP1" vbProcedure="false">Margin!$B$21</definedName>
    <definedName function="false" hidden="false" name="FEES" vbProcedure="false">Inputs!$B$52</definedName>
    <definedName function="false" hidden="false" name="FHLB" vbProcedure="false">Inputs!$B$19</definedName>
    <definedName function="false" hidden="false" name="FHLB_CAP" vbProcedure="false">Inputs!$B$63</definedName>
    <definedName function="false" hidden="false" name="FHLB_FREE" vbProcedure="false">Liquidity!$B$12</definedName>
    <definedName function="false" hidden="false" name="FLOOR_LVL" vbProcedure="false">Inputs!$B$77</definedName>
    <definedName function="false" hidden="false" name="FLOOR_SHARE" vbProcedure="false">Inputs!$B$76</definedName>
    <definedName function="false" hidden="false" name="FRANCHISE_N" vbProcedure="false">Marks!$B$20</definedName>
    <definedName function="false" hidden="false" name="FTP_MAXDUR" vbProcedure="false">Inputs!$B$70</definedName>
    <definedName function="false" hidden="false" name="FTP_SLOPE" vbProcedure="false">Inputs!$B$69</definedName>
    <definedName function="false" hidden="false" name="GAP_1_3" vbProcedure="false">Capital!$B$25</definedName>
    <definedName function="false" hidden="false" name="GOODWILL" vbProcedure="false">Inputs!$B$15</definedName>
    <definedName function="false" hidden="false" name="HAIRCUT_AFS" vbProcedure="false">Inputs!$B$61</definedName>
    <definedName function="false" hidden="false" name="HAIRCUT_HTM" vbProcedure="false">Inputs!$B$62</definedName>
    <definedName function="false" hidden="false" name="HTM" vbProcedure="false">Inputs!$B$11</definedName>
    <definedName function="false" hidden="false" name="HTM_LOSS" vbProcedure="false">Liquidity!$B$17</definedName>
    <definedName function="false" hidden="false" name="HTM_MKT" vbProcedure="false">Liquidity!$B$10</definedName>
    <definedName function="false" hidden="false" name="HTM_SELLABLE" vbProcedure="false">Liquidity!$B$18</definedName>
    <definedName function="false" hidden="false" name="INC0" vbProcedure="false">Margin!$B$9</definedName>
    <definedName function="false" hidden="false" name="INC1" vbProcedure="false">Margin!$B$20</definedName>
    <definedName function="false" hidden="false" name="LIQ_CONSTRAINED" vbProcedure="false">Liquidity!$B$20</definedName>
    <definedName function="false" hidden="false" name="LIQ_NOW" vbProcedure="false">Liquidity!$B$11</definedName>
    <definedName function="false" hidden="false" name="LIQ_TOTAL" vbProcedure="false">Liquidity!$B$13</definedName>
    <definedName function="false" hidden="false" name="LOANS_FIX" vbProcedure="false">Inputs!$B$12</definedName>
    <definedName function="false" hidden="false" name="LOANS_FLT" vbProcedure="false">Inputs!$B$13</definedName>
    <definedName function="false" hidden="false" name="MKT0" vbProcedure="false">Inputs!$B$25</definedName>
    <definedName function="false" hidden="false" name="MV_AFS" vbProcedure="false">Marks!$B$13</definedName>
    <definedName function="false" hidden="false" name="MV_AFS_N" vbProcedure="false">Marks!$B$16</definedName>
    <definedName function="false" hidden="false" name="MV_FIX" vbProcedure="false">Marks!$B$15</definedName>
    <definedName function="false" hidden="false" name="MV_FIX_N" vbProcedure="false">Marks!$B$18</definedName>
    <definedName function="false" hidden="false" name="MV_HTM" vbProcedure="false">Marks!$B$14</definedName>
    <definedName function="false" hidden="false" name="MV_HTM_N" vbProcedure="false">Marks!$B$17</definedName>
    <definedName function="false" hidden="false" name="MV_TIME_N" vbProcedure="false">Marks!$B$19</definedName>
    <definedName function="false" hidden="false" name="NET_INCOME" vbProcedure="false">Margin!$B$27</definedName>
    <definedName function="false" hidden="false" name="NII0" vbProcedure="false">Margin!$B$11</definedName>
    <definedName function="false" hidden="false" name="NII1" vbProcedure="false">Margin!$B$22</definedName>
    <definedName function="false" hidden="false" name="NIM0" vbProcedure="false">Margin!$B$13</definedName>
    <definedName function="false" hidden="false" name="NIM1" vbProcedure="false">Margin!$B$23</definedName>
    <definedName function="false" hidden="false" name="OPEX" vbProcedure="false">Inputs!$B$51</definedName>
    <definedName function="false" hidden="false" name="OPEX_DEP" vbProcedure="false">Inputs!$B$73</definedName>
    <definedName function="false" hidden="false" name="OTHER_ASSETS" vbProcedure="false">Inputs!$B$14</definedName>
    <definedName function="false" hidden="false" name="OTHER_LIAB" vbProcedure="false">Inputs!$B$21</definedName>
    <definedName function="false" hidden="false" name="OUT_FAST" vbProcedure="false">Inputs!$B$65</definedName>
    <definedName function="false" hidden="false" name="OUT_SLOW" vbProcedure="false">Inputs!$B$64</definedName>
    <definedName function="false" hidden="false" name="PBT" vbProcedure="false">Margin!$B$26</definedName>
    <definedName function="false" hidden="false" name="PROVISION" vbProcedure="false">Inputs!$B$53</definedName>
    <definedName function="false" hidden="false" name="PX_AFS" vbProcedure="false">Marks!$B$8</definedName>
    <definedName function="false" hidden="false" name="PX_FIX" vbProcedure="false">Marks!$B$10</definedName>
    <definedName function="false" hidden="false" name="PX_HTM" vbProcedure="false">Marks!$B$9</definedName>
    <definedName function="false" hidden="false" name="R1" vbProcedure="false">Capital!$B$20</definedName>
    <definedName function="false" hidden="false" name="R1_OPEN" vbProcedure="false">Capital!$B$24</definedName>
    <definedName function="false" hidden="false" name="R2" vbProcedure="false">Capital!$B$21</definedName>
    <definedName function="false" hidden="false" name="R3" vbProcedure="false">Capital!$B$22</definedName>
    <definedName function="false" hidden="false" name="R4" vbProcedure="false">Capital!$B$23</definedName>
    <definedName function="false" hidden="false" name="RATIO_SOLD" vbProcedure="false">Liquidity!$B$19</definedName>
    <definedName function="false" hidden="false" name="RESET_LAG" vbProcedure="false">Inputs!$B$79</definedName>
    <definedName function="false" hidden="false" name="RESET_SHARE" vbProcedure="false">Inputs!$B$78</definedName>
    <definedName function="false" hidden="false" name="RETAINED" vbProcedure="false">Margin!$B$28</definedName>
    <definedName function="false" hidden="false" name="RUN_THRESHOLD" vbProcedure="false">Liquidity!$B$28</definedName>
    <definedName function="false" hidden="false" name="RWA0" vbProcedure="false">Inputs!$B$55</definedName>
    <definedName function="false" hidden="false" name="RWA1" vbProcedure="false">Inputs!$B$56</definedName>
    <definedName function="false" hidden="false" name="SHOCK" vbProcedure="false">Inputs!$B$26</definedName>
    <definedName function="false" hidden="false" name="SPREAD_FLT" vbProcedure="false">Inputs!$B$31</definedName>
    <definedName function="false" hidden="false" name="SUBDEBT" vbProcedure="false">Inputs!$B$20</definedName>
    <definedName function="false" hidden="false" name="TANG_ASSETS" vbProcedure="false">Capital!$B$15</definedName>
    <definedName function="false" hidden="false" name="TAX" vbProcedure="false">Inputs!$B$48</definedName>
    <definedName function="false" hidden="false" name="TCE" vbProcedure="false">Capital!$B$14</definedName>
    <definedName function="false" hidden="false" name="TOT_ASSETS" vbProcedure="false">Inputs!$B$87</definedName>
    <definedName function="false" hidden="false" name="TOT_LIAB" vbProcedure="false">Inputs!$B$88</definedName>
    <definedName function="false" hidden="false" name="UNINSURED" vbProcedure="false">Liquidity!$B$8</definedName>
    <definedName function="false" hidden="false" name="UNINS_PER_CAPITAL" vbProcedure="false">Liquidity!$B$30</definedName>
    <definedName function="false" hidden="false" name="UNINS_SHARE" vbProcedure="false">Inputs!$B$60</definedName>
    <definedName function="false" hidden="false" name="WELLCAP" vbProcedure="false">Inputs!$B$66</definedName>
    <definedName function="false" hidden="false" name="Y_AFS" vbProcedure="false">Inputs!$B$28</definedName>
    <definedName function="false" hidden="false" name="Y_CASH" vbProcedure="false">Inputs!$B$27</definedName>
    <definedName function="false" hidden="false" name="Y_FIX" vbProcedure="false">Inputs!$B$30</definedName>
    <definedName function="false" hidden="false" name="Y_FLT0" vbProcedure="false">Margin!$B$8</definedName>
    <definedName function="false" hidden="false" name="Y_FLT1" vbProcedure="false">Margin!$B$16</definedName>
    <definedName function="false" hidden="false" name="Y_HTM" vbProcedure="false">Inputs!$B$29</definedName>
  </definedNames>
  <calcPr iterateCount="100" refMode="A1" iterate="false" iterateDelta="0.0001"/>
  <extLst>
    <ext xmlns:loext="http://schemas.libreoffice.org/" uri="{7626C862-2A13-11E5-B345-FEFF819CDC9F}">
      <loext:extCalcPr stringRefSyntax="ExcelA1"/>
    </ext>
  </extLst>
</workbook>
</file>

<file path=xl/sharedStrings.xml><?xml version="1.0" encoding="utf-8"?>
<sst xmlns="http://schemas.openxmlformats.org/spreadsheetml/2006/main" count="303" uniqueCount="279">
  <si>
    <t xml:space="preserve">Liquidity and the Run</t>
  </si>
  <si>
    <t xml:space="preserve">Workbook four of four — Bank Management, Julian R. Sterling</t>
  </si>
  <si>
    <t xml:space="preserve">What this workbook is</t>
  </si>
  <si>
    <t xml:space="preserve">Mobilizable liquidity by source and haircut, coverage of uninsured deposits, and the two coverage figures that differ: the total, and the amount reachable without breaching the well-capitalized threshold.</t>
  </si>
  <si>
    <t xml:space="preserve">It computes days to exhaustion at any outflow rate you enter, and the share of the held-to-maturity book that can be sold before the published ratio breaks. The last line of the Liquidity sheet is the threshold the whole book turns on: the deposit outflow at which the franchise premium disappears and the fourth reading collapses onto the third.</t>
  </si>
  <si>
    <t xml:space="preserve">The sheets</t>
  </si>
  <si>
    <t xml:space="preserve">Inputs — the only cells you type</t>
  </si>
  <si>
    <t xml:space="preserve">Liquidity — sources, coverage, and the run threshold</t>
  </si>
  <si>
    <t xml:space="preserve">Days — days to exhaustion at any outflow rate</t>
  </si>
  <si>
    <t xml:space="preserve">Capital — the ratio that constrains the sale</t>
  </si>
  <si>
    <t xml:space="preserve">Checks — each printed figure against the live formula</t>
  </si>
  <si>
    <t xml:space="preserve">How to use it on your own bank</t>
  </si>
  <si>
    <t xml:space="preserve">Replace the shaded cells on Inputs with your own figures. Nothing else is typed anywhere in this file: every other cell is a formula, so the whole workbook follows. Start with the balance sheet, then the yields, then the two assumptions that decide most of the answer — the deposit beta and the assumed life of non-maturity deposits.</t>
  </si>
  <si>
    <t xml:space="preserve">The Checks sheet compares each figure printed in the book with the figure this workbook computes on the book's own inputs. All checks should say PASS before you change anything. If one says FAIL after you have edited the inputs, that is expected — you are no longer looking at Sagebrook.</t>
  </si>
  <si>
    <t xml:space="preserve">A warning about two of the inputs</t>
  </si>
  <si>
    <t xml:space="preserve">The assumed deposit life and the deposit beta are judgments, not measurements. Chapter nine of the book prints the surface rather than the point. At its corners the deposit franchise differs by a factor of 6.86 (765,000 against 111,563), and economic equity runs from 608,716 to minus 44,722. Before quoting any figure this workbook produces, look at what it does when those two cells move.</t>
  </si>
  <si>
    <t xml:space="preserve">Revised 24 September 2026</t>
  </si>
  <si>
    <t xml:space="preserve">The figures of this workbook were right and are re-verified. The read-me no longer says the corners of the surface differ by a factor of seven: one of them is negative, so they have no ratio. It is the deposit franchise that differs by a factor of 6.86 between the corners, 765,000 against 111,563.</t>
  </si>
  <si>
    <t xml:space="preserve">Seven checks added, 18 in all, among them two proofs at the foot of the Liquidity sheet: sell exactly the sellable share and the published ratio lands on 6.50 per cent; lose exactly the threshold share of the franchise and the fourth reading lands on the third. The key lines of every sheet are now set in bold; the first files printed two asterisks in front of them instead.</t>
  </si>
  <si>
    <t xml:space="preserve">Workbook 4 of four. Bank Management, Julian R. Sterling, 2026. julianrsterling.com/franchise</t>
  </si>
  <si>
    <t xml:space="preserve">Inputs</t>
  </si>
  <si>
    <t xml:space="preserve">Sagebrook National Bank. Every shaded cell is yours to change; every other figure in this workbook follows.</t>
  </si>
  <si>
    <t xml:space="preserve">Amounts in thousands of dollars. The book's own figures are the values typed here, and the Checks sheet compares them line by line.</t>
  </si>
  <si>
    <t xml:space="preserve">The balance sheet, in thousands of dollars</t>
  </si>
  <si>
    <t xml:space="preserve">Cash and equivalents</t>
  </si>
  <si>
    <t xml:space="preserve">CASH</t>
  </si>
  <si>
    <t xml:space="preserve">Securities, available for sale</t>
  </si>
  <si>
    <t xml:space="preserve">AFS</t>
  </si>
  <si>
    <t xml:space="preserve">Securities, held to maturity</t>
  </si>
  <si>
    <t xml:space="preserve">HTM</t>
  </si>
  <si>
    <t xml:space="preserve">Loans, fixed rate</t>
  </si>
  <si>
    <t xml:space="preserve">LOANS_FIX</t>
  </si>
  <si>
    <t xml:space="preserve">Loans, floating rate</t>
  </si>
  <si>
    <t xml:space="preserve">LOANS_FLT</t>
  </si>
  <si>
    <t xml:space="preserve">Other assets</t>
  </si>
  <si>
    <t xml:space="preserve">OTHER_ASSETS</t>
  </si>
  <si>
    <t xml:space="preserve">   of which goodwill</t>
  </si>
  <si>
    <t xml:space="preserve">GOODWILL</t>
  </si>
  <si>
    <t xml:space="preserve">Deposits, non-interest-bearing</t>
  </si>
  <si>
    <t xml:space="preserve">DEP_NIB</t>
  </si>
  <si>
    <t xml:space="preserve">Deposits, savings and interest-bearing</t>
  </si>
  <si>
    <t xml:space="preserve">DEP_SAV</t>
  </si>
  <si>
    <t xml:space="preserve">Deposits, time</t>
  </si>
  <si>
    <t xml:space="preserve">DEP_TIME</t>
  </si>
  <si>
    <t xml:space="preserve">FHLB advances</t>
  </si>
  <si>
    <t xml:space="preserve">FHLB</t>
  </si>
  <si>
    <t xml:space="preserve">Subordinated debt</t>
  </si>
  <si>
    <t xml:space="preserve">SUBDEBT</t>
  </si>
  <si>
    <t xml:space="preserve">Other liabilities</t>
  </si>
  <si>
    <t xml:space="preserve">OTHER_LIAB</t>
  </si>
  <si>
    <t xml:space="preserve">Common equity, opening</t>
  </si>
  <si>
    <t xml:space="preserve">EQUITY</t>
  </si>
  <si>
    <t xml:space="preserve">Rates</t>
  </si>
  <si>
    <t xml:space="preserve">Market rate, year 0</t>
  </si>
  <si>
    <t xml:space="preserve">MKT0</t>
  </si>
  <si>
    <t xml:space="preserve">Rate shock over the year</t>
  </si>
  <si>
    <t xml:space="preserve">SHOCK</t>
  </si>
  <si>
    <t xml:space="preserve">Yield on cash</t>
  </si>
  <si>
    <t xml:space="preserve">Y_CASH</t>
  </si>
  <si>
    <t xml:space="preserve">Yield on available-for-sale securities</t>
  </si>
  <si>
    <t xml:space="preserve">Y_AFS</t>
  </si>
  <si>
    <t xml:space="preserve">Yield on held-to-maturity securities</t>
  </si>
  <si>
    <t xml:space="preserve">Y_HTM</t>
  </si>
  <si>
    <t xml:space="preserve">Yield on fixed-rate loans</t>
  </si>
  <si>
    <t xml:space="preserve">Y_FIX</t>
  </si>
  <si>
    <t xml:space="preserve">Spread over the index on floating loans</t>
  </si>
  <si>
    <t xml:space="preserve">SPREAD_FLT</t>
  </si>
  <si>
    <t xml:space="preserve">Cost of savings deposits, year 0</t>
  </si>
  <si>
    <t xml:space="preserve">C_SAV</t>
  </si>
  <si>
    <t xml:space="preserve">Cost of time deposits, year 0</t>
  </si>
  <si>
    <t xml:space="preserve">C_TIME</t>
  </si>
  <si>
    <t xml:space="preserve">Cost of FHLB advances, year 0</t>
  </si>
  <si>
    <t xml:space="preserve">C_FHLB</t>
  </si>
  <si>
    <t xml:space="preserve">Cost of subordinated debt</t>
  </si>
  <si>
    <t xml:space="preserve">C_SUB</t>
  </si>
  <si>
    <t xml:space="preserve">Behaviour and price sensitivity</t>
  </si>
  <si>
    <t xml:space="preserve">Duration, available for sale</t>
  </si>
  <si>
    <t xml:space="preserve">DUR_AFS</t>
  </si>
  <si>
    <t xml:space="preserve">Duration, held to maturity</t>
  </si>
  <si>
    <t xml:space="preserve">DUR_HTM</t>
  </si>
  <si>
    <t xml:space="preserve">Duration, fixed-rate loans</t>
  </si>
  <si>
    <t xml:space="preserve">DUR_FIX</t>
  </si>
  <si>
    <t xml:space="preserve">Convexity, available for sale</t>
  </si>
  <si>
    <t xml:space="preserve">CVX_AFS</t>
  </si>
  <si>
    <t xml:space="preserve">Convexity, held to maturity</t>
  </si>
  <si>
    <t xml:space="preserve">CVX_HTM</t>
  </si>
  <si>
    <t xml:space="preserve">Convexity, fixed-rate loans</t>
  </si>
  <si>
    <t xml:space="preserve">CVX_FIX</t>
  </si>
  <si>
    <t xml:space="preserve">Duration, time deposits</t>
  </si>
  <si>
    <t xml:space="preserve">DUR_TIME</t>
  </si>
  <si>
    <t xml:space="preserve">Assumed life of non-maturity deposits, years</t>
  </si>
  <si>
    <t xml:space="preserve">DEP_LIFE</t>
  </si>
  <si>
    <t xml:space="preserve">Deposit beta, savings</t>
  </si>
  <si>
    <t xml:space="preserve">BETA_SAV</t>
  </si>
  <si>
    <t xml:space="preserve">Deposit beta, time deposits</t>
  </si>
  <si>
    <t xml:space="preserve">BETA_TIME</t>
  </si>
  <si>
    <t xml:space="preserve">Tax rate</t>
  </si>
  <si>
    <t xml:space="preserve">TAX</t>
  </si>
  <si>
    <t xml:space="preserve">The year's profit, and capital</t>
  </si>
  <si>
    <t xml:space="preserve">Operating expenses</t>
  </si>
  <si>
    <t xml:space="preserve">OPEX</t>
  </si>
  <si>
    <t xml:space="preserve">Fee and other income</t>
  </si>
  <si>
    <t xml:space="preserve">FEES</t>
  </si>
  <si>
    <t xml:space="preserve">Provision for credit losses</t>
  </si>
  <si>
    <t xml:space="preserve">PROVISION</t>
  </si>
  <si>
    <t xml:space="preserve">Dividends paid</t>
  </si>
  <si>
    <t xml:space="preserve">DIVIDEND</t>
  </si>
  <si>
    <t xml:space="preserve">Risk-weighted assets, opening</t>
  </si>
  <si>
    <t xml:space="preserve">RWA0</t>
  </si>
  <si>
    <t xml:space="preserve">Risk-weighted assets, year end</t>
  </si>
  <si>
    <t xml:space="preserve">RWA1</t>
  </si>
  <si>
    <t xml:space="preserve">Opening AOCI, gross of tax</t>
  </si>
  <si>
    <t xml:space="preserve">AOCI0</t>
  </si>
  <si>
    <t xml:space="preserve">Liquidity</t>
  </si>
  <si>
    <t xml:space="preserve">Share of deposits above the insurance limit</t>
  </si>
  <si>
    <t xml:space="preserve">UNINS_SHARE</t>
  </si>
  <si>
    <t xml:space="preserve">Haircut on pledged AFS securities</t>
  </si>
  <si>
    <t xml:space="preserve">HAIRCUT_AFS</t>
  </si>
  <si>
    <t xml:space="preserve">Haircut on pledged HTM securities</t>
  </si>
  <si>
    <t xml:space="preserve">HAIRCUT_HTM</t>
  </si>
  <si>
    <t xml:space="preserve">Total FHLB borrowing capacity</t>
  </si>
  <si>
    <t xml:space="preserve">FHLB_CAP</t>
  </si>
  <si>
    <t xml:space="preserve">Deposit outflow, slow scenario, per day</t>
  </si>
  <si>
    <t xml:space="preserve">OUT_SLOW</t>
  </si>
  <si>
    <t xml:space="preserve">Deposit outflow, fast scenario, per day</t>
  </si>
  <si>
    <t xml:space="preserve">OUT_FAST</t>
  </si>
  <si>
    <t xml:space="preserve">Well-capitalized CET1 threshold</t>
  </si>
  <si>
    <t xml:space="preserve">WELLCAP</t>
  </si>
  <si>
    <t xml:space="preserve">Funds transfer pricing</t>
  </si>
  <si>
    <t xml:space="preserve">Internal curve, per year of duration</t>
  </si>
  <si>
    <t xml:space="preserve">FTP_SLOPE</t>
  </si>
  <si>
    <t xml:space="preserve">Internal curve, flat beyond this duration</t>
  </si>
  <si>
    <t xml:space="preserve">FTP_MAXDUR</t>
  </si>
  <si>
    <t xml:space="preserve">Duration, FHLB advances</t>
  </si>
  <si>
    <t xml:space="preserve">DUR_FHLB</t>
  </si>
  <si>
    <t xml:space="preserve">Duration, subordinated debt</t>
  </si>
  <si>
    <t xml:space="preserve">DUR_SUB</t>
  </si>
  <si>
    <t xml:space="preserve">Share of expenses charged to deposit gathering</t>
  </si>
  <si>
    <t xml:space="preserve">OPEX_DEP</t>
  </si>
  <si>
    <t xml:space="preserve">The floating book, as written</t>
  </si>
  <si>
    <t xml:space="preserve">Share of floating loans carrying a floor</t>
  </si>
  <si>
    <t xml:space="preserve">FLOOR_SHARE</t>
  </si>
  <si>
    <t xml:space="preserve">Average level of that floor</t>
  </si>
  <si>
    <t xml:space="preserve">FLOOR_LVL</t>
  </si>
  <si>
    <t xml:space="preserve">Share of floating loans resetting annually</t>
  </si>
  <si>
    <t xml:space="preserve">RESET_SHARE</t>
  </si>
  <si>
    <t xml:space="preserve">Average lag to the next reset, years</t>
  </si>
  <si>
    <t xml:space="preserve">RESET_LAG</t>
  </si>
  <si>
    <t xml:space="preserve">A deposit beta to test the year's profit against</t>
  </si>
  <si>
    <t xml:space="preserve">BETA_TEST</t>
  </si>
  <si>
    <t xml:space="preserve">What a buyer would pay</t>
  </si>
  <si>
    <t xml:space="preserve">Amortization life of the deposit intangible, years</t>
  </si>
  <si>
    <t xml:space="preserve">CDI_LIFE</t>
  </si>
  <si>
    <t xml:space="preserve">Two totals, so that an edit that unbalances the balance sheet is visible</t>
  </si>
  <si>
    <t xml:space="preserve">Total assets</t>
  </si>
  <si>
    <t xml:space="preserve">Total liabilities and equity</t>
  </si>
  <si>
    <t xml:space="preserve">Difference — must be zero</t>
  </si>
  <si>
    <t xml:space="preserve">If this is not zero the balance sheet does not balance, and nothing downstream means anything.</t>
  </si>
  <si>
    <t xml:space="preserve">Liquidity, coverage and the run</t>
  </si>
  <si>
    <t xml:space="preserve">What can be raised, what it costs to raise it, and how long it lasts.</t>
  </si>
  <si>
    <t xml:space="preserve">What can be turned into cash</t>
  </si>
  <si>
    <t xml:space="preserve">Uninsured deposits</t>
  </si>
  <si>
    <t xml:space="preserve">AFS at market</t>
  </si>
  <si>
    <t xml:space="preserve">HTM at market</t>
  </si>
  <si>
    <t xml:space="preserve">Immediately available</t>
  </si>
  <si>
    <t xml:space="preserve">Unused FHLB capacity</t>
  </si>
  <si>
    <t xml:space="preserve">Total mobilizable</t>
  </si>
  <si>
    <t xml:space="preserve">Coverage, and the constraint on it</t>
  </si>
  <si>
    <t xml:space="preserve">Coverage of uninsured deposits</t>
  </si>
  <si>
    <t xml:space="preserve">Loss if the HTM book is sold</t>
  </si>
  <si>
    <t xml:space="preserve">Share of the HTM book sellable before the threshold</t>
  </si>
  <si>
    <t xml:space="preserve">Published ratio after selling the HTM book entirely</t>
  </si>
  <si>
    <t xml:space="preserve">Liquidity reachable without breaching the ratio</t>
  </si>
  <si>
    <t xml:space="preserve">Coverage that does not break the published ratio</t>
  </si>
  <si>
    <t xml:space="preserve">Days of survival</t>
  </si>
  <si>
    <t xml:space="preserve">At the slow outflow rate</t>
  </si>
  <si>
    <t xml:space="preserve">At the fast outflow rate</t>
  </si>
  <si>
    <t xml:space="preserve">The threshold that matters</t>
  </si>
  <si>
    <t xml:space="preserve">Deposit outflow that eliminates the franchise premium</t>
  </si>
  <si>
    <t xml:space="preserve">Total loss-absorbing capital</t>
  </si>
  <si>
    <t xml:space="preserve">Uninsured deposits per dollar of capital</t>
  </si>
  <si>
    <t xml:space="preserve">Two proofs</t>
  </si>
  <si>
    <t xml:space="preserve">Published ratio after selling exactly the sellable share</t>
  </si>
  <si>
    <t xml:space="preserve">Economic equity with the threshold share of the franchise gone</t>
  </si>
  <si>
    <t xml:space="preserve">  which is reading 3, tangible common equity</t>
  </si>
  <si>
    <t xml:space="preserve">Days to exhaustion</t>
  </si>
  <si>
    <t xml:space="preserve">How long the liquidity lasts, at any daily outflow rate you enter.</t>
  </si>
  <si>
    <t xml:space="preserve">Outflow per day</t>
  </si>
  <si>
    <t xml:space="preserve">Days, total liquidity</t>
  </si>
  <si>
    <t xml:space="preserve">Days, without breaching the ratio</t>
  </si>
  <si>
    <t xml:space="preserve">1%</t>
  </si>
  <si>
    <t xml:space="preserve">2%</t>
  </si>
  <si>
    <t xml:space="preserve">5%</t>
  </si>
  <si>
    <t xml:space="preserve">10%</t>
  </si>
  <si>
    <t xml:space="preserve">15%</t>
  </si>
  <si>
    <t xml:space="preserve">20%</t>
  </si>
  <si>
    <t xml:space="preserve">25%</t>
  </si>
  <si>
    <t xml:space="preserve">35%</t>
  </si>
  <si>
    <t xml:space="preserve">The outflow is a constant share of the uninsured base each day, so the days are exactly inversely proportional to the rate. That is the generous assumption: a real run accelerates. A quarter of the uninsured deposits in a day is not a stress scenario — it is what happened in March 2023.</t>
  </si>
  <si>
    <t xml:space="preserve">Capital</t>
  </si>
  <si>
    <t xml:space="preserve">The published ratio is what constrains the liquidity.</t>
  </si>
  <si>
    <t xml:space="preserve">The four readings</t>
  </si>
  <si>
    <t xml:space="preserve">Opening AOCI, net of tax</t>
  </si>
  <si>
    <t xml:space="preserve">CET1, opening</t>
  </si>
  <si>
    <t xml:space="preserve">Book common equity, year end</t>
  </si>
  <si>
    <t xml:space="preserve">Reading 1 — published CET1</t>
  </si>
  <si>
    <t xml:space="preserve">Reading 2 — CET1 with the AFS mark recognised</t>
  </si>
  <si>
    <t xml:space="preserve">Total assets, year end</t>
  </si>
  <si>
    <t xml:space="preserve">Reading 3 — tangible common equity</t>
  </si>
  <si>
    <t xml:space="preserve">Tangible assets, both marks</t>
  </si>
  <si>
    <t xml:space="preserve">Reading 4 — economic value of equity</t>
  </si>
  <si>
    <t xml:space="preserve">Its denominator, tangible assets marked</t>
  </si>
  <si>
    <t xml:space="preserve">The same four, as ratios</t>
  </si>
  <si>
    <t xml:space="preserve">Reading 1, on risk-weighted assets</t>
  </si>
  <si>
    <t xml:space="preserve">Reading 2, on risk-weighted assets</t>
  </si>
  <si>
    <t xml:space="preserve">Reading 3, on tangible assets</t>
  </si>
  <si>
    <t xml:space="preserve">Reading 4, on its own denominator</t>
  </si>
  <si>
    <t xml:space="preserve">Reading 1 at the start of the year</t>
  </si>
  <si>
    <t xml:space="preserve">The distance between reading 1 and reading 3</t>
  </si>
  <si>
    <t xml:space="preserve">The marks</t>
  </si>
  <si>
    <t xml:space="preserve">The haircuts apply to marked values, not to cost.</t>
  </si>
  <si>
    <t xml:space="preserve">Price change under the shock, duration and convexity</t>
  </si>
  <si>
    <t xml:space="preserve">Price change, available for sale</t>
  </si>
  <si>
    <t xml:space="preserve">Price change, held to maturity</t>
  </si>
  <si>
    <t xml:space="preserve">Price change, fixed-rate loans</t>
  </si>
  <si>
    <t xml:space="preserve">The marks, gross and net of tax</t>
  </si>
  <si>
    <t xml:space="preserve">Available for sale, gross</t>
  </si>
  <si>
    <t xml:space="preserve">Held to maturity, gross</t>
  </si>
  <si>
    <t xml:space="preserve">Fixed-rate loans, gross</t>
  </si>
  <si>
    <t xml:space="preserve">Available for sale, net of tax</t>
  </si>
  <si>
    <t xml:space="preserve">Held to maturity, net of tax</t>
  </si>
  <si>
    <t xml:space="preserve">Fixed-rate loans, net of tax</t>
  </si>
  <si>
    <t xml:space="preserve">Time deposits, net of tax (a liability losing value is a gain)</t>
  </si>
  <si>
    <t xml:space="preserve">Deposit franchise, net of tax</t>
  </si>
  <si>
    <t xml:space="preserve">The margin</t>
  </si>
  <si>
    <t xml:space="preserve">Needed for the capital that constrains the sale.</t>
  </si>
  <si>
    <t xml:space="preserve">The margin, year 0</t>
  </si>
  <si>
    <t xml:space="preserve">Yield on floating loans, year 0</t>
  </si>
  <si>
    <t xml:space="preserve">Interest income, year 0</t>
  </si>
  <si>
    <t xml:space="preserve">Interest expense, year 0</t>
  </si>
  <si>
    <t xml:space="preserve">Net interest income, year 0</t>
  </si>
  <si>
    <t xml:space="preserve">Earning assets</t>
  </si>
  <si>
    <t xml:space="preserve">Net interest margin, year 0</t>
  </si>
  <si>
    <t xml:space="preserve">The margin, year 1 — the shock year</t>
  </si>
  <si>
    <t xml:space="preserve">Yield on floating loans, year 1</t>
  </si>
  <si>
    <t xml:space="preserve">Cost of savings deposits, year 1</t>
  </si>
  <si>
    <t xml:space="preserve">Cost of time deposits, year 1</t>
  </si>
  <si>
    <t xml:space="preserve">Cost of FHLB advances, year 1</t>
  </si>
  <si>
    <t xml:space="preserve">Interest income, year 1</t>
  </si>
  <si>
    <t xml:space="preserve">Interest expense, year 1</t>
  </si>
  <si>
    <t xml:space="preserve">Net interest income, year 1</t>
  </si>
  <si>
    <t xml:space="preserve">Net interest margin, year 1</t>
  </si>
  <si>
    <t xml:space="preserve">The year's profit</t>
  </si>
  <si>
    <t xml:space="preserve">Pre-tax income</t>
  </si>
  <si>
    <t xml:space="preserve">Net income</t>
  </si>
  <si>
    <t xml:space="preserve">Retained</t>
  </si>
  <si>
    <t xml:space="preserve">Checks</t>
  </si>
  <si>
    <t xml:space="preserve">Each line sets a figure printed in the book beside the figure this workbook computes.</t>
  </si>
  <si>
    <t xml:space="preserve">Column C is typed from the page. Column D is a live formula over the inputs. If they disagree the check says FAIL, and it is the workbook that is wrong.</t>
  </si>
  <si>
    <t xml:space="preserve">Ch.</t>
  </si>
  <si>
    <t xml:space="preserve">Figure</t>
  </si>
  <si>
    <t xml:space="preserve">Printed</t>
  </si>
  <si>
    <t xml:space="preserve">Workbook</t>
  </si>
  <si>
    <t xml:space="preserve">Difference</t>
  </si>
  <si>
    <t xml:space="preserve">Result</t>
  </si>
  <si>
    <t xml:space="preserve">15</t>
  </si>
  <si>
    <t xml:space="preserve">Uninsured deposits per dollar of total capital</t>
  </si>
  <si>
    <t xml:space="preserve">17</t>
  </si>
  <si>
    <t xml:space="preserve">Immediately available liquidity</t>
  </si>
  <si>
    <t xml:space="preserve">Total mobilizable liquidity</t>
  </si>
  <si>
    <t xml:space="preserve">Coverage without breaching the published ratio</t>
  </si>
  <si>
    <t xml:space="preserve">Days of survival at 2 per cent a day</t>
  </si>
  <si>
    <t xml:space="preserve">Days of survival at 25 per cent a day</t>
  </si>
  <si>
    <t xml:space="preserve">25</t>
  </si>
  <si>
    <t xml:space="preserve">Days at 25 per cent a day, without breaching the ratio</t>
  </si>
  <si>
    <t xml:space="preserve">At the sellable share the published ratio is exactly the threshold</t>
  </si>
  <si>
    <t xml:space="preserve">At the run threshold the fourth reading falls onto the third</t>
  </si>
  <si>
    <t xml:space="preserve">Checks that pass</t>
  </si>
  <si>
    <t xml:space="preserve">Checks that fail</t>
  </si>
</sst>
</file>

<file path=xl/styles.xml><?xml version="1.0" encoding="utf-8"?>
<styleSheet xmlns="http://schemas.openxmlformats.org/spreadsheetml/2006/main">
  <numFmts count="11">
    <numFmt numFmtId="164" formatCode="General"/>
    <numFmt numFmtId="165" formatCode="#,##0;\-#,##0"/>
    <numFmt numFmtId="166" formatCode="0.00%;\-0.00%"/>
    <numFmt numFmtId="167" formatCode="0.00"/>
    <numFmt numFmtId="168" formatCode="0.00\x"/>
    <numFmt numFmtId="169" formatCode="#,##0.00;\-#,##0.00"/>
    <numFmt numFmtId="170" formatCode="0.00000000"/>
    <numFmt numFmtId="171" formatCode="@"/>
    <numFmt numFmtId="172" formatCode="0.000000"/>
    <numFmt numFmtId="173" formatCode="0.0000%;\-0.0000%"/>
    <numFmt numFmtId="174" formatCode="0"/>
  </numFmts>
  <fonts count="13">
    <font>
      <sz val="11"/>
      <color theme="1"/>
      <name val="Calibri"/>
      <family val="2"/>
      <charset val="1"/>
    </font>
    <font>
      <sz val="10"/>
      <name val="Arial"/>
      <family val="0"/>
    </font>
    <font>
      <sz val="10"/>
      <name val="Arial"/>
      <family val="0"/>
    </font>
    <font>
      <sz val="10"/>
      <name val="Arial"/>
      <family val="0"/>
    </font>
    <font>
      <b val="true"/>
      <sz val="16"/>
      <color rgb="FF1F4E5F"/>
      <name val="Calibri"/>
      <family val="0"/>
      <charset val="1"/>
    </font>
    <font>
      <i val="true"/>
      <sz val="10"/>
      <color rgb="FF5A6A70"/>
      <name val="Calibri"/>
      <family val="0"/>
      <charset val="1"/>
    </font>
    <font>
      <b val="true"/>
      <sz val="12"/>
      <color rgb="FF1F4E5F"/>
      <name val="Calibri"/>
      <family val="0"/>
      <charset val="1"/>
    </font>
    <font>
      <sz val="11"/>
      <color rgb="FF1A1A1A"/>
      <name val="Calibri"/>
      <family val="0"/>
      <charset val="1"/>
    </font>
    <font>
      <i val="true"/>
      <sz val="9"/>
      <color rgb="FF5A6A70"/>
      <name val="Calibri"/>
      <family val="0"/>
      <charset val="1"/>
    </font>
    <font>
      <b val="true"/>
      <sz val="11"/>
      <color rgb="FF0B4FA0"/>
      <name val="Calibri"/>
      <family val="0"/>
      <charset val="1"/>
    </font>
    <font>
      <sz val="9"/>
      <color rgb="FF9AA6AC"/>
      <name val="Consolas"/>
      <family val="0"/>
      <charset val="1"/>
    </font>
    <font>
      <b val="true"/>
      <sz val="11"/>
      <color rgb="FF1A1A1A"/>
      <name val="Calibri"/>
      <family val="0"/>
      <charset val="1"/>
    </font>
    <font>
      <b val="true"/>
      <sz val="10"/>
      <color rgb="FFFFFFFF"/>
      <name val="Calibri"/>
      <family val="0"/>
      <charset val="1"/>
    </font>
  </fonts>
  <fills count="5">
    <fill>
      <patternFill patternType="none"/>
    </fill>
    <fill>
      <patternFill patternType="gray125"/>
    </fill>
    <fill>
      <patternFill patternType="solid">
        <fgColor rgb="FFFFF6D8"/>
        <bgColor rgb="FFF2F5F7"/>
      </patternFill>
    </fill>
    <fill>
      <patternFill patternType="solid">
        <fgColor rgb="FF1F4E5F"/>
        <bgColor rgb="FF0B4FA0"/>
      </patternFill>
    </fill>
    <fill>
      <patternFill patternType="solid">
        <fgColor rgb="FFF2F5F7"/>
        <bgColor rgb="FFFFFFFF"/>
      </patternFill>
    </fill>
  </fills>
  <borders count="4">
    <border diagonalUp="false" diagonalDown="false">
      <left/>
      <right/>
      <top/>
      <bottom/>
      <diagonal/>
    </border>
    <border diagonalUp="false" diagonalDown="false">
      <left/>
      <right/>
      <top/>
      <bottom style="medium">
        <color rgb="FF1F4E5F"/>
      </bottom>
      <diagonal/>
    </border>
    <border diagonalUp="false" diagonalDown="false">
      <left/>
      <right/>
      <top/>
      <bottom style="thin">
        <color rgb="FFBFC8CC"/>
      </bottom>
      <diagonal/>
    </border>
    <border diagonalUp="false" diagonalDown="false">
      <left style="thin">
        <color rgb="FFBFC8CC"/>
      </left>
      <right style="thin">
        <color rgb="FFBFC8CC"/>
      </right>
      <top style="thin">
        <color rgb="FFBFC8CC"/>
      </top>
      <bottom style="thin">
        <color rgb="FFBFC8CC"/>
      </bottom>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37">
    <xf numFmtId="164" fontId="0" fillId="0" borderId="0" xfId="0" applyFont="false" applyBorder="false" applyAlignment="false" applyProtection="false">
      <alignment horizontal="general" vertical="bottom" textRotation="0" wrapText="false" indent="0" shrinkToFit="false"/>
      <protection locked="true" hidden="false"/>
    </xf>
    <xf numFmtId="164" fontId="4" fillId="0" borderId="0" xfId="0" applyFont="true" applyBorder="false" applyAlignment="true" applyProtection="false">
      <alignment horizontal="general" vertical="center" textRotation="0" wrapText="false" indent="0" shrinkToFit="false"/>
      <protection locked="true" hidden="false"/>
    </xf>
    <xf numFmtId="164" fontId="5" fillId="0" borderId="0" xfId="0" applyFont="true" applyBorder="false" applyAlignment="false" applyProtection="false">
      <alignment horizontal="general" vertical="bottom" textRotation="0" wrapText="false" indent="0" shrinkToFit="false"/>
      <protection locked="true" hidden="false"/>
    </xf>
    <xf numFmtId="164" fontId="0" fillId="0" borderId="1" xfId="0" applyFont="false" applyBorder="true" applyAlignment="false" applyProtection="false">
      <alignment horizontal="general" vertical="bottom" textRotation="0" wrapText="false" indent="0" shrinkToFit="false"/>
      <protection locked="true" hidden="false"/>
    </xf>
    <xf numFmtId="164" fontId="6" fillId="0" borderId="2" xfId="0" applyFont="true" applyBorder="true" applyAlignment="false" applyProtection="false">
      <alignment horizontal="general" vertical="bottom" textRotation="0" wrapText="false" indent="0" shrinkToFit="false"/>
      <protection locked="true" hidden="false"/>
    </xf>
    <xf numFmtId="164" fontId="7" fillId="0" borderId="0" xfId="0" applyFont="true" applyBorder="false" applyAlignment="true" applyProtection="false">
      <alignment horizontal="general" vertical="top" textRotation="0" wrapText="true" indent="0" shrinkToFit="false"/>
      <protection locked="true" hidden="false"/>
    </xf>
    <xf numFmtId="164" fontId="6" fillId="0" borderId="0" xfId="0" applyFont="true" applyBorder="false" applyAlignment="false" applyProtection="false">
      <alignment horizontal="general" vertical="bottom" textRotation="0" wrapText="false" indent="0" shrinkToFit="false"/>
      <protection locked="true" hidden="false"/>
    </xf>
    <xf numFmtId="164" fontId="8" fillId="0" borderId="0" xfId="0" applyFont="true" applyBorder="false" applyAlignment="false" applyProtection="false">
      <alignment horizontal="general" vertical="bottom" textRotation="0" wrapText="false" indent="0" shrinkToFit="false"/>
      <protection locked="true" hidden="false"/>
    </xf>
    <xf numFmtId="164" fontId="0" fillId="0" borderId="2" xfId="0" applyFont="false" applyBorder="true" applyAlignment="false" applyProtection="false">
      <alignment horizontal="general" vertical="bottom" textRotation="0" wrapText="false" indent="0" shrinkToFit="false"/>
      <protection locked="true" hidden="false"/>
    </xf>
    <xf numFmtId="164" fontId="7" fillId="0" borderId="0" xfId="0" applyFont="true" applyBorder="false" applyAlignment="false" applyProtection="false">
      <alignment horizontal="general" vertical="bottom" textRotation="0" wrapText="false" indent="0" shrinkToFit="false"/>
      <protection locked="true" hidden="false"/>
    </xf>
    <xf numFmtId="165" fontId="9" fillId="2" borderId="3" xfId="0" applyFont="true" applyBorder="true" applyAlignment="false" applyProtection="false">
      <alignment horizontal="general" vertical="bottom" textRotation="0" wrapText="false" indent="0" shrinkToFit="false"/>
      <protection locked="true" hidden="false"/>
    </xf>
    <xf numFmtId="164" fontId="10" fillId="0" borderId="0" xfId="0" applyFont="true" applyBorder="false" applyAlignment="false" applyProtection="false">
      <alignment horizontal="general" vertical="bottom" textRotation="0" wrapText="false" indent="0" shrinkToFit="false"/>
      <protection locked="true" hidden="false"/>
    </xf>
    <xf numFmtId="166" fontId="9" fillId="2" borderId="3" xfId="0" applyFont="true" applyBorder="true" applyAlignment="false" applyProtection="false">
      <alignment horizontal="general" vertical="bottom" textRotation="0" wrapText="false" indent="0" shrinkToFit="false"/>
      <protection locked="true" hidden="false"/>
    </xf>
    <xf numFmtId="167" fontId="9" fillId="2" borderId="3" xfId="0" applyFont="true" applyBorder="true" applyAlignment="false" applyProtection="false">
      <alignment horizontal="general" vertical="bottom" textRotation="0" wrapText="false" indent="0" shrinkToFit="false"/>
      <protection locked="true" hidden="false"/>
    </xf>
    <xf numFmtId="164" fontId="11" fillId="0" borderId="0" xfId="0" applyFont="true" applyBorder="false" applyAlignment="false" applyProtection="false">
      <alignment horizontal="general" vertical="bottom" textRotation="0" wrapText="false" indent="0" shrinkToFit="false"/>
      <protection locked="true" hidden="false"/>
    </xf>
    <xf numFmtId="165" fontId="11" fillId="0" borderId="0" xfId="0" applyFont="true" applyBorder="false" applyAlignment="false" applyProtection="false">
      <alignment horizontal="general" vertical="bottom" textRotation="0" wrapText="false" indent="0" shrinkToFit="false"/>
      <protection locked="true" hidden="false"/>
    </xf>
    <xf numFmtId="165" fontId="7" fillId="0" borderId="0" xfId="0" applyFont="true" applyBorder="false" applyAlignment="false" applyProtection="false">
      <alignment horizontal="general" vertical="bottom" textRotation="0" wrapText="false" indent="0" shrinkToFit="false"/>
      <protection locked="true" hidden="false"/>
    </xf>
    <xf numFmtId="166" fontId="7" fillId="0" borderId="0" xfId="0" applyFont="true" applyBorder="false" applyAlignment="false" applyProtection="false">
      <alignment horizontal="general" vertical="bottom" textRotation="0" wrapText="false" indent="0" shrinkToFit="false"/>
      <protection locked="true" hidden="false"/>
    </xf>
    <xf numFmtId="166" fontId="11" fillId="0" borderId="0" xfId="0" applyFont="true" applyBorder="false" applyAlignment="false" applyProtection="false">
      <alignment horizontal="general" vertical="bottom" textRotation="0" wrapText="false" indent="0" shrinkToFit="false"/>
      <protection locked="true" hidden="false"/>
    </xf>
    <xf numFmtId="167" fontId="7" fillId="0" borderId="0" xfId="0" applyFont="true" applyBorder="false" applyAlignment="false" applyProtection="false">
      <alignment horizontal="general" vertical="bottom" textRotation="0" wrapText="false" indent="0" shrinkToFit="false"/>
      <protection locked="true" hidden="false"/>
    </xf>
    <xf numFmtId="167" fontId="11" fillId="0" borderId="0" xfId="0" applyFont="true" applyBorder="false" applyAlignment="false" applyProtection="false">
      <alignment horizontal="general" vertical="bottom" textRotation="0" wrapText="false" indent="0" shrinkToFit="false"/>
      <protection locked="true" hidden="false"/>
    </xf>
    <xf numFmtId="168" fontId="7" fillId="0" borderId="0" xfId="0" applyFont="true" applyBorder="false" applyAlignment="false" applyProtection="false">
      <alignment horizontal="general" vertical="bottom" textRotation="0" wrapText="false" indent="0" shrinkToFit="false"/>
      <protection locked="true" hidden="false"/>
    </xf>
    <xf numFmtId="169" fontId="7" fillId="0" borderId="0" xfId="0" applyFont="true" applyBorder="false" applyAlignment="false" applyProtection="false">
      <alignment horizontal="general" vertical="bottom" textRotation="0" wrapText="false" indent="0" shrinkToFit="false"/>
      <protection locked="true" hidden="false"/>
    </xf>
    <xf numFmtId="164" fontId="12" fillId="3" borderId="3" xfId="0" applyFont="true" applyBorder="true" applyAlignment="true" applyProtection="false">
      <alignment horizontal="left" vertical="center" textRotation="0" wrapText="true" indent="0" shrinkToFit="false"/>
      <protection locked="true" hidden="false"/>
    </xf>
    <xf numFmtId="164" fontId="12" fillId="3" borderId="3" xfId="0" applyFont="true" applyBorder="true" applyAlignment="true" applyProtection="false">
      <alignment horizontal="right" vertical="center" textRotation="0" wrapText="true" indent="0" shrinkToFit="false"/>
      <protection locked="true" hidden="false"/>
    </xf>
    <xf numFmtId="164" fontId="7" fillId="4" borderId="0" xfId="0" applyFont="true" applyBorder="false" applyAlignment="false" applyProtection="false">
      <alignment horizontal="general" vertical="bottom" textRotation="0" wrapText="false" indent="0" shrinkToFit="false"/>
      <protection locked="true" hidden="false"/>
    </xf>
    <xf numFmtId="167" fontId="7" fillId="4" borderId="0" xfId="0" applyFont="true" applyBorder="false" applyAlignment="false" applyProtection="false">
      <alignment horizontal="general" vertical="bottom" textRotation="0" wrapText="false" indent="0" shrinkToFit="false"/>
      <protection locked="true" hidden="false"/>
    </xf>
    <xf numFmtId="170" fontId="7" fillId="0" borderId="0" xfId="0" applyFont="true" applyBorder="false" applyAlignment="false" applyProtection="false">
      <alignment horizontal="general" vertical="bottom" textRotation="0" wrapText="false" indent="0" shrinkToFit="false"/>
      <protection locked="true" hidden="false"/>
    </xf>
    <xf numFmtId="171" fontId="11" fillId="0" borderId="0" xfId="0" applyFont="true" applyBorder="false" applyAlignment="false" applyProtection="false">
      <alignment horizontal="general" vertical="bottom" textRotation="0" wrapText="false" indent="0" shrinkToFit="false"/>
      <protection locked="true" hidden="false"/>
    </xf>
    <xf numFmtId="172" fontId="7" fillId="4" borderId="0" xfId="0" applyFont="true" applyBorder="false" applyAlignment="false" applyProtection="false">
      <alignment horizontal="general" vertical="bottom" textRotation="0" wrapText="false" indent="0" shrinkToFit="false"/>
      <protection locked="true" hidden="false"/>
    </xf>
    <xf numFmtId="170" fontId="7" fillId="4" borderId="0" xfId="0" applyFont="true" applyBorder="false" applyAlignment="false" applyProtection="false">
      <alignment horizontal="general" vertical="bottom" textRotation="0" wrapText="false" indent="0" shrinkToFit="false"/>
      <protection locked="true" hidden="false"/>
    </xf>
    <xf numFmtId="171" fontId="11" fillId="4" borderId="0" xfId="0" applyFont="true" applyBorder="false" applyAlignment="false" applyProtection="false">
      <alignment horizontal="general" vertical="bottom" textRotation="0" wrapText="false" indent="0" shrinkToFit="false"/>
      <protection locked="true" hidden="false"/>
    </xf>
    <xf numFmtId="169" fontId="7" fillId="4" borderId="0" xfId="0" applyFont="true" applyBorder="false" applyAlignment="false" applyProtection="false">
      <alignment horizontal="general" vertical="bottom" textRotation="0" wrapText="false" indent="0" shrinkToFit="false"/>
      <protection locked="true" hidden="false"/>
    </xf>
    <xf numFmtId="173" fontId="7" fillId="0" borderId="0" xfId="0" applyFont="true" applyBorder="false" applyAlignment="false" applyProtection="false">
      <alignment horizontal="general" vertical="bottom" textRotation="0" wrapText="false" indent="0" shrinkToFit="false"/>
      <protection locked="true" hidden="false"/>
    </xf>
    <xf numFmtId="173" fontId="7" fillId="4" borderId="0" xfId="0" applyFont="true" applyBorder="false" applyAlignment="false" applyProtection="false">
      <alignment horizontal="general" vertical="bottom" textRotation="0" wrapText="false" indent="0" shrinkToFit="false"/>
      <protection locked="true" hidden="false"/>
    </xf>
    <xf numFmtId="172" fontId="7" fillId="0" borderId="0" xfId="0" applyFont="true" applyBorder="false" applyAlignment="false" applyProtection="false">
      <alignment horizontal="general" vertical="bottom" textRotation="0" wrapText="false" indent="0" shrinkToFit="false"/>
      <protection locked="true" hidden="false"/>
    </xf>
    <xf numFmtId="174" fontId="11" fillId="0" borderId="0" xfId="0" applyFont="true" applyBorder="false" applyAlignment="false" applyProtection="false">
      <alignment horizontal="general" vertical="bottom" textRotation="0" wrapText="fals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BFC8CC"/>
      <rgbColor rgb="FF808080"/>
      <rgbColor rgb="FF9999FF"/>
      <rgbColor rgb="FF993366"/>
      <rgbColor rgb="FFFFF6D8"/>
      <rgbColor rgb="FFF2F5F7"/>
      <rgbColor rgb="FF660066"/>
      <rgbColor rgb="FFFF8080"/>
      <rgbColor rgb="FF0B4FA0"/>
      <rgbColor rgb="FFCCCCFF"/>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9CC00"/>
      <rgbColor rgb="FFFFCC00"/>
      <rgbColor rgb="FFFF9900"/>
      <rgbColor rgb="FFFF6600"/>
      <rgbColor rgb="FF5A6A70"/>
      <rgbColor rgb="FF9AA6AC"/>
      <rgbColor rgb="FF1F4E5F"/>
      <rgbColor rgb="FF339966"/>
      <rgbColor rgb="FF003300"/>
      <rgbColor rgb="FF333300"/>
      <rgbColor rgb="FF993300"/>
      <rgbColor rgb="FF993366"/>
      <rgbColor rgb="FF333399"/>
      <rgbColor rgb="FF1A1A1A"/>
    </indexedColors>
  </color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worksheet" Target="worksheets/sheet2.xml"/><Relationship Id="rId5" Type="http://schemas.openxmlformats.org/officeDocument/2006/relationships/worksheet" Target="worksheets/sheet3.xml"/><Relationship Id="rId6" Type="http://schemas.openxmlformats.org/officeDocument/2006/relationships/worksheet" Target="worksheets/sheet4.xml"/><Relationship Id="rId7" Type="http://schemas.openxmlformats.org/officeDocument/2006/relationships/worksheet" Target="worksheets/sheet5.xml"/><Relationship Id="rId8" Type="http://schemas.openxmlformats.org/officeDocument/2006/relationships/worksheet" Target="worksheets/sheet6.xml"/><Relationship Id="rId9" Type="http://schemas.openxmlformats.org/officeDocument/2006/relationships/worksheet" Target="worksheets/sheet7.xml"/><Relationship Id="rId10" Type="http://schemas.openxmlformats.org/officeDocument/2006/relationships/worksheet" Target="worksheets/sheet8.xml"/><Relationship Id="rId11" Type="http://schemas.openxmlformats.org/officeDocument/2006/relationships/sharedStrings" Target="sharedStrings.xml"/>
</Relationships>
</file>

<file path=xl/theme/theme1.xml><?xml version="1.0" encoding="utf-8"?>
<a:theme xmlns:a="http://schemas.openxmlformats.org/drawingml/2006/main" xmlns:r="http://schemas.openxmlformats.org/officeDocument/2006/relationships"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itchFamily="0" charset="1"/>
        <a:ea typeface=""/>
        <a:cs typeface=""/>
      </a:majorFont>
      <a:minorFont>
        <a:latin typeface="Calibri" pitchFamily="0" charset="1"/>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l="0" t="0" r="0" b="0"/>
        </a:gradFill>
        <a:gradFill>
          <a:gsLst>
            <a:gs pos="0">
              <a:schemeClr val="phClr">
                <a:shade val="51000"/>
              </a:schemeClr>
            </a:gs>
            <a:gs pos="80000">
              <a:schemeClr val="phClr">
                <a:shade val="93000"/>
              </a:schemeClr>
            </a:gs>
            <a:gs pos="100000">
              <a:schemeClr val="phClr">
                <a:shade val="94000"/>
              </a:schemeClr>
            </a:gs>
          </a:gsLst>
          <a:lin ang="16200000" scaled="0"/>
          <a:tileRect l="0" t="0" r="0" b="0"/>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l="0" t="0" r="0" b="0"/>
        </a:gradFill>
        <a:gradFill>
          <a:gsLst>
            <a:gs pos="0">
              <a:schemeClr val="phClr">
                <a:tint val="80000"/>
              </a:schemeClr>
            </a:gs>
            <a:gs pos="100000">
              <a:schemeClr val="phClr">
                <a:shade val="30000"/>
              </a:schemeClr>
            </a:gs>
          </a:gsLst>
          <a:path path="circle">
            <a:fillToRect l="50000" t="50000" r="50000" b="50000"/>
          </a:path>
          <a:tileRect l="0" t="0" r="0" b="0"/>
        </a:gradFill>
      </a:bgFillStyleLst>
    </a:fmtScheme>
  </a:themeElemen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A35"/>
  <sheetViews>
    <sheetView showFormulas="false" showGridLines="false" showRowColHeaders="true" showZeros="true" rightToLeft="false" tabSelected="true" showOutlineSymbols="true" defaultGridColor="true" view="normal" topLeftCell="A1" colorId="64" zoomScale="100" zoomScaleNormal="100" zoomScalePageLayoutView="100" workbookViewId="0">
      <selection pane="topLeft" activeCell="A1" activeCellId="0" sqref="A1"/>
    </sheetView>
  </sheetViews>
  <sheetFormatPr defaultColWidth="8.5390625" defaultRowHeight="15" zeroHeight="false" outlineLevelRow="0" outlineLevelCol="0"/>
  <cols>
    <col collapsed="false" customWidth="true" hidden="false" outlineLevel="0" max="1" min="1" style="0" width="112"/>
  </cols>
  <sheetData>
    <row r="1" customFormat="false" ht="24" hidden="false" customHeight="true" outlineLevel="0" collapsed="false">
      <c r="A1" s="1" t="s">
        <v>0</v>
      </c>
    </row>
    <row r="2" customFormat="false" ht="15" hidden="false" customHeight="false" outlineLevel="0" collapsed="false">
      <c r="A2" s="2" t="s">
        <v>1</v>
      </c>
    </row>
    <row r="3" customFormat="false" ht="15" hidden="false" customHeight="false" outlineLevel="0" collapsed="false">
      <c r="A3" s="3"/>
    </row>
    <row r="5" customFormat="false" ht="15" hidden="false" customHeight="false" outlineLevel="0" collapsed="false">
      <c r="A5" s="4" t="s">
        <v>2</v>
      </c>
    </row>
    <row r="7" customFormat="false" ht="30" hidden="false" customHeight="true" outlineLevel="0" collapsed="false">
      <c r="A7" s="5" t="s">
        <v>3</v>
      </c>
    </row>
    <row r="9" customFormat="false" ht="60" hidden="false" customHeight="true" outlineLevel="0" collapsed="false">
      <c r="A9" s="5" t="s">
        <v>4</v>
      </c>
    </row>
    <row r="11" customFormat="false" ht="15" hidden="false" customHeight="false" outlineLevel="0" collapsed="false">
      <c r="A11" s="4" t="s">
        <v>5</v>
      </c>
    </row>
    <row r="13" customFormat="false" ht="15" hidden="false" customHeight="true" outlineLevel="0" collapsed="false">
      <c r="A13" s="5" t="s">
        <v>6</v>
      </c>
    </row>
    <row r="14" customFormat="false" ht="15" hidden="false" customHeight="true" outlineLevel="0" collapsed="false">
      <c r="A14" s="5" t="s">
        <v>7</v>
      </c>
    </row>
    <row r="15" customFormat="false" ht="15" hidden="false" customHeight="true" outlineLevel="0" collapsed="false">
      <c r="A15" s="5" t="s">
        <v>8</v>
      </c>
    </row>
    <row r="16" customFormat="false" ht="15" hidden="false" customHeight="true" outlineLevel="0" collapsed="false">
      <c r="A16" s="5" t="s">
        <v>9</v>
      </c>
    </row>
    <row r="17" customFormat="false" ht="15" hidden="false" customHeight="true" outlineLevel="0" collapsed="false">
      <c r="A17" s="5" t="s">
        <v>10</v>
      </c>
    </row>
    <row r="19" customFormat="false" ht="15" hidden="false" customHeight="false" outlineLevel="0" collapsed="false">
      <c r="A19" s="4" t="s">
        <v>11</v>
      </c>
    </row>
    <row r="21" customFormat="false" ht="60" hidden="false" customHeight="true" outlineLevel="0" collapsed="false">
      <c r="A21" s="5" t="s">
        <v>12</v>
      </c>
    </row>
    <row r="23" customFormat="false" ht="45" hidden="false" customHeight="true" outlineLevel="0" collapsed="false">
      <c r="A23" s="5" t="s">
        <v>13</v>
      </c>
    </row>
    <row r="25" customFormat="false" ht="15" hidden="false" customHeight="false" outlineLevel="0" collapsed="false">
      <c r="A25" s="4" t="s">
        <v>14</v>
      </c>
    </row>
    <row r="27" customFormat="false" ht="45" hidden="false" customHeight="true" outlineLevel="0" collapsed="false">
      <c r="A27" s="5" t="s">
        <v>15</v>
      </c>
    </row>
    <row r="29" customFormat="false" ht="15" hidden="false" customHeight="false" outlineLevel="0" collapsed="false">
      <c r="A29" s="4" t="s">
        <v>16</v>
      </c>
    </row>
    <row r="31" customFormat="false" ht="45" hidden="false" customHeight="true" outlineLevel="0" collapsed="false">
      <c r="A31" s="5" t="s">
        <v>17</v>
      </c>
    </row>
    <row r="33" customFormat="false" ht="60" hidden="false" customHeight="true" outlineLevel="0" collapsed="false">
      <c r="A33" s="5" t="s">
        <v>18</v>
      </c>
    </row>
    <row r="35" customFormat="false" ht="15" hidden="false" customHeight="true" outlineLevel="0" collapsed="false">
      <c r="A35" s="6" t="s">
        <v>19</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C90"/>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0" ySplit="5" topLeftCell="A6" activePane="bottomLeft" state="frozen"/>
      <selection pane="topLeft" activeCell="A1" activeCellId="0" sqref="A1"/>
      <selection pane="bottomLeft" activeCell="A1" activeCellId="0" sqref="A1"/>
    </sheetView>
  </sheetViews>
  <sheetFormatPr defaultColWidth="8.5390625" defaultRowHeight="15" zeroHeight="false" outlineLevelRow="0" outlineLevelCol="0"/>
  <cols>
    <col collapsed="false" customWidth="true" hidden="false" outlineLevel="0" max="1" min="1" style="0" width="52"/>
    <col collapsed="false" customWidth="true" hidden="false" outlineLevel="0" max="2" min="2" style="0" width="16"/>
    <col collapsed="false" customWidth="true" hidden="false" outlineLevel="0" max="3" min="3" style="0" width="60"/>
  </cols>
  <sheetData>
    <row r="1" customFormat="false" ht="24" hidden="false" customHeight="true" outlineLevel="0" collapsed="false">
      <c r="A1" s="1" t="s">
        <v>20</v>
      </c>
    </row>
    <row r="2" customFormat="false" ht="15" hidden="false" customHeight="false" outlineLevel="0" collapsed="false">
      <c r="A2" s="2" t="s">
        <v>21</v>
      </c>
    </row>
    <row r="3" customFormat="false" ht="15" hidden="false" customHeight="false" outlineLevel="0" collapsed="false">
      <c r="A3" s="3"/>
      <c r="B3" s="3"/>
      <c r="C3" s="3"/>
    </row>
    <row r="5" customFormat="false" ht="15" hidden="false" customHeight="false" outlineLevel="0" collapsed="false">
      <c r="A5" s="7" t="s">
        <v>22</v>
      </c>
    </row>
    <row r="7" customFormat="false" ht="15" hidden="false" customHeight="false" outlineLevel="0" collapsed="false">
      <c r="A7" s="4" t="s">
        <v>23</v>
      </c>
      <c r="B7" s="8"/>
      <c r="C7" s="8"/>
    </row>
    <row r="9" customFormat="false" ht="15" hidden="false" customHeight="false" outlineLevel="0" collapsed="false">
      <c r="A9" s="9" t="s">
        <v>24</v>
      </c>
      <c r="B9" s="10" t="n">
        <v>420000</v>
      </c>
      <c r="C9" s="11" t="s">
        <v>25</v>
      </c>
    </row>
    <row r="10" customFormat="false" ht="15" hidden="false" customHeight="false" outlineLevel="0" collapsed="false">
      <c r="A10" s="9" t="s">
        <v>26</v>
      </c>
      <c r="B10" s="10" t="n">
        <v>1180000</v>
      </c>
      <c r="C10" s="11" t="s">
        <v>27</v>
      </c>
    </row>
    <row r="11" customFormat="false" ht="15" hidden="false" customHeight="false" outlineLevel="0" collapsed="false">
      <c r="A11" s="9" t="s">
        <v>28</v>
      </c>
      <c r="B11" s="10" t="n">
        <v>1640000</v>
      </c>
      <c r="C11" s="11" t="s">
        <v>29</v>
      </c>
    </row>
    <row r="12" customFormat="false" ht="15" hidden="false" customHeight="false" outlineLevel="0" collapsed="false">
      <c r="A12" s="9" t="s">
        <v>30</v>
      </c>
      <c r="B12" s="10" t="n">
        <v>2850000</v>
      </c>
      <c r="C12" s="11" t="s">
        <v>31</v>
      </c>
    </row>
    <row r="13" customFormat="false" ht="15" hidden="false" customHeight="false" outlineLevel="0" collapsed="false">
      <c r="A13" s="9" t="s">
        <v>32</v>
      </c>
      <c r="B13" s="10" t="n">
        <v>1610000</v>
      </c>
      <c r="C13" s="11" t="s">
        <v>33</v>
      </c>
    </row>
    <row r="14" customFormat="false" ht="15" hidden="false" customHeight="false" outlineLevel="0" collapsed="false">
      <c r="A14" s="9" t="s">
        <v>34</v>
      </c>
      <c r="B14" s="10" t="n">
        <v>300000</v>
      </c>
      <c r="C14" s="11" t="s">
        <v>35</v>
      </c>
    </row>
    <row r="15" customFormat="false" ht="15" hidden="false" customHeight="false" outlineLevel="0" collapsed="false">
      <c r="A15" s="9" t="s">
        <v>36</v>
      </c>
      <c r="B15" s="10" t="n">
        <v>48000</v>
      </c>
      <c r="C15" s="11" t="s">
        <v>37</v>
      </c>
    </row>
    <row r="16" customFormat="false" ht="15" hidden="false" customHeight="false" outlineLevel="0" collapsed="false">
      <c r="A16" s="9" t="s">
        <v>38</v>
      </c>
      <c r="B16" s="10" t="n">
        <v>1760000</v>
      </c>
      <c r="C16" s="11" t="s">
        <v>39</v>
      </c>
    </row>
    <row r="17" customFormat="false" ht="15" hidden="false" customHeight="false" outlineLevel="0" collapsed="false">
      <c r="A17" s="9" t="s">
        <v>40</v>
      </c>
      <c r="B17" s="10" t="n">
        <v>3240000</v>
      </c>
      <c r="C17" s="11" t="s">
        <v>41</v>
      </c>
    </row>
    <row r="18" customFormat="false" ht="15" hidden="false" customHeight="false" outlineLevel="0" collapsed="false">
      <c r="A18" s="9" t="s">
        <v>42</v>
      </c>
      <c r="B18" s="10" t="n">
        <v>1480000</v>
      </c>
      <c r="C18" s="11" t="s">
        <v>43</v>
      </c>
    </row>
    <row r="19" customFormat="false" ht="15" hidden="false" customHeight="false" outlineLevel="0" collapsed="false">
      <c r="A19" s="9" t="s">
        <v>44</v>
      </c>
      <c r="B19" s="10" t="n">
        <v>620000</v>
      </c>
      <c r="C19" s="11" t="s">
        <v>45</v>
      </c>
    </row>
    <row r="20" customFormat="false" ht="15" hidden="false" customHeight="false" outlineLevel="0" collapsed="false">
      <c r="A20" s="9" t="s">
        <v>46</v>
      </c>
      <c r="B20" s="10" t="n">
        <v>150000</v>
      </c>
      <c r="C20" s="11" t="s">
        <v>47</v>
      </c>
    </row>
    <row r="21" customFormat="false" ht="15" hidden="false" customHeight="false" outlineLevel="0" collapsed="false">
      <c r="A21" s="9" t="s">
        <v>48</v>
      </c>
      <c r="B21" s="10" t="n">
        <v>90000</v>
      </c>
      <c r="C21" s="11" t="s">
        <v>49</v>
      </c>
    </row>
    <row r="22" customFormat="false" ht="15" hidden="false" customHeight="false" outlineLevel="0" collapsed="false">
      <c r="A22" s="9" t="s">
        <v>50</v>
      </c>
      <c r="B22" s="10" t="n">
        <v>660000</v>
      </c>
      <c r="C22" s="11" t="s">
        <v>51</v>
      </c>
    </row>
    <row r="23" customFormat="false" ht="15" hidden="false" customHeight="false" outlineLevel="0" collapsed="false">
      <c r="A23" s="4" t="s">
        <v>52</v>
      </c>
      <c r="B23" s="8"/>
      <c r="C23" s="8"/>
    </row>
    <row r="25" customFormat="false" ht="15" hidden="false" customHeight="false" outlineLevel="0" collapsed="false">
      <c r="A25" s="9" t="s">
        <v>53</v>
      </c>
      <c r="B25" s="12" t="n">
        <v>0.0155</v>
      </c>
      <c r="C25" s="11" t="s">
        <v>54</v>
      </c>
    </row>
    <row r="26" customFormat="false" ht="15" hidden="false" customHeight="false" outlineLevel="0" collapsed="false">
      <c r="A26" s="9" t="s">
        <v>55</v>
      </c>
      <c r="B26" s="12" t="n">
        <v>0.0425</v>
      </c>
      <c r="C26" s="11" t="s">
        <v>56</v>
      </c>
    </row>
    <row r="27" customFormat="false" ht="15" hidden="false" customHeight="false" outlineLevel="0" collapsed="false">
      <c r="A27" s="9" t="s">
        <v>57</v>
      </c>
      <c r="B27" s="12" t="n">
        <v>0.0155</v>
      </c>
      <c r="C27" s="11" t="s">
        <v>58</v>
      </c>
    </row>
    <row r="28" customFormat="false" ht="15" hidden="false" customHeight="false" outlineLevel="0" collapsed="false">
      <c r="A28" s="9" t="s">
        <v>59</v>
      </c>
      <c r="B28" s="12" t="n">
        <v>0.0172</v>
      </c>
      <c r="C28" s="11" t="s">
        <v>60</v>
      </c>
    </row>
    <row r="29" customFormat="false" ht="15" hidden="false" customHeight="false" outlineLevel="0" collapsed="false">
      <c r="A29" s="9" t="s">
        <v>61</v>
      </c>
      <c r="B29" s="12" t="n">
        <v>0.0194</v>
      </c>
      <c r="C29" s="11" t="s">
        <v>62</v>
      </c>
    </row>
    <row r="30" customFormat="false" ht="15" hidden="false" customHeight="false" outlineLevel="0" collapsed="false">
      <c r="A30" s="9" t="s">
        <v>63</v>
      </c>
      <c r="B30" s="12" t="n">
        <v>0.0435</v>
      </c>
      <c r="C30" s="11" t="s">
        <v>64</v>
      </c>
    </row>
    <row r="31" customFormat="false" ht="15" hidden="false" customHeight="false" outlineLevel="0" collapsed="false">
      <c r="A31" s="9" t="s">
        <v>65</v>
      </c>
      <c r="B31" s="12" t="n">
        <v>0.024</v>
      </c>
      <c r="C31" s="11" t="s">
        <v>66</v>
      </c>
    </row>
    <row r="32" customFormat="false" ht="15" hidden="false" customHeight="false" outlineLevel="0" collapsed="false">
      <c r="A32" s="9" t="s">
        <v>67</v>
      </c>
      <c r="B32" s="12" t="n">
        <v>0.0018</v>
      </c>
      <c r="C32" s="11" t="s">
        <v>68</v>
      </c>
    </row>
    <row r="33" customFormat="false" ht="15" hidden="false" customHeight="false" outlineLevel="0" collapsed="false">
      <c r="A33" s="9" t="s">
        <v>69</v>
      </c>
      <c r="B33" s="12" t="n">
        <v>0.0085</v>
      </c>
      <c r="C33" s="11" t="s">
        <v>70</v>
      </c>
    </row>
    <row r="34" customFormat="false" ht="15" hidden="false" customHeight="false" outlineLevel="0" collapsed="false">
      <c r="A34" s="9" t="s">
        <v>71</v>
      </c>
      <c r="B34" s="12" t="n">
        <v>0.0135</v>
      </c>
      <c r="C34" s="11" t="s">
        <v>72</v>
      </c>
    </row>
    <row r="35" customFormat="false" ht="15" hidden="false" customHeight="false" outlineLevel="0" collapsed="false">
      <c r="A35" s="9" t="s">
        <v>73</v>
      </c>
      <c r="B35" s="12" t="n">
        <v>0.0525</v>
      </c>
      <c r="C35" s="11" t="s">
        <v>74</v>
      </c>
    </row>
    <row r="36" customFormat="false" ht="15" hidden="false" customHeight="false" outlineLevel="0" collapsed="false">
      <c r="A36" s="4" t="s">
        <v>75</v>
      </c>
      <c r="B36" s="8"/>
      <c r="C36" s="8"/>
    </row>
    <row r="38" customFormat="false" ht="15" hidden="false" customHeight="false" outlineLevel="0" collapsed="false">
      <c r="A38" s="9" t="s">
        <v>76</v>
      </c>
      <c r="B38" s="13" t="n">
        <v>4.6</v>
      </c>
      <c r="C38" s="11" t="s">
        <v>77</v>
      </c>
    </row>
    <row r="39" customFormat="false" ht="15" hidden="false" customHeight="false" outlineLevel="0" collapsed="false">
      <c r="A39" s="9" t="s">
        <v>78</v>
      </c>
      <c r="B39" s="13" t="n">
        <v>7.8</v>
      </c>
      <c r="C39" s="11" t="s">
        <v>79</v>
      </c>
    </row>
    <row r="40" customFormat="false" ht="15" hidden="false" customHeight="false" outlineLevel="0" collapsed="false">
      <c r="A40" s="9" t="s">
        <v>80</v>
      </c>
      <c r="B40" s="13" t="n">
        <v>3.9</v>
      </c>
      <c r="C40" s="11" t="s">
        <v>81</v>
      </c>
    </row>
    <row r="41" customFormat="false" ht="15" hidden="false" customHeight="false" outlineLevel="0" collapsed="false">
      <c r="A41" s="9" t="s">
        <v>82</v>
      </c>
      <c r="B41" s="13" t="n">
        <v>24</v>
      </c>
      <c r="C41" s="11" t="s">
        <v>83</v>
      </c>
    </row>
    <row r="42" customFormat="false" ht="15" hidden="false" customHeight="false" outlineLevel="0" collapsed="false">
      <c r="A42" s="9" t="s">
        <v>84</v>
      </c>
      <c r="B42" s="13" t="n">
        <v>71</v>
      </c>
      <c r="C42" s="11" t="s">
        <v>85</v>
      </c>
    </row>
    <row r="43" customFormat="false" ht="15" hidden="false" customHeight="false" outlineLevel="0" collapsed="false">
      <c r="A43" s="9" t="s">
        <v>86</v>
      </c>
      <c r="B43" s="13" t="n">
        <v>18</v>
      </c>
      <c r="C43" s="11" t="s">
        <v>87</v>
      </c>
    </row>
    <row r="44" customFormat="false" ht="15" hidden="false" customHeight="false" outlineLevel="0" collapsed="false">
      <c r="A44" s="9" t="s">
        <v>88</v>
      </c>
      <c r="B44" s="13" t="n">
        <v>0.9</v>
      </c>
      <c r="C44" s="11" t="s">
        <v>89</v>
      </c>
    </row>
    <row r="45" customFormat="false" ht="15" hidden="false" customHeight="false" outlineLevel="0" collapsed="false">
      <c r="A45" s="9" t="s">
        <v>90</v>
      </c>
      <c r="B45" s="13" t="n">
        <v>4.2</v>
      </c>
      <c r="C45" s="11" t="s">
        <v>91</v>
      </c>
    </row>
    <row r="46" customFormat="false" ht="15" hidden="false" customHeight="false" outlineLevel="0" collapsed="false">
      <c r="A46" s="9" t="s">
        <v>92</v>
      </c>
      <c r="B46" s="12" t="n">
        <v>0.35</v>
      </c>
      <c r="C46" s="11" t="s">
        <v>93</v>
      </c>
    </row>
    <row r="47" customFormat="false" ht="15" hidden="false" customHeight="false" outlineLevel="0" collapsed="false">
      <c r="A47" s="9" t="s">
        <v>94</v>
      </c>
      <c r="B47" s="12" t="n">
        <v>0.85</v>
      </c>
      <c r="C47" s="11" t="s">
        <v>95</v>
      </c>
    </row>
    <row r="48" customFormat="false" ht="15" hidden="false" customHeight="false" outlineLevel="0" collapsed="false">
      <c r="A48" s="9" t="s">
        <v>96</v>
      </c>
      <c r="B48" s="12" t="n">
        <v>0.25</v>
      </c>
      <c r="C48" s="11" t="s">
        <v>97</v>
      </c>
    </row>
    <row r="49" customFormat="false" ht="15" hidden="false" customHeight="false" outlineLevel="0" collapsed="false">
      <c r="A49" s="4" t="s">
        <v>98</v>
      </c>
      <c r="B49" s="8"/>
      <c r="C49" s="8"/>
    </row>
    <row r="51" customFormat="false" ht="15" hidden="false" customHeight="false" outlineLevel="0" collapsed="false">
      <c r="A51" s="9" t="s">
        <v>99</v>
      </c>
      <c r="B51" s="10" t="n">
        <v>148000</v>
      </c>
      <c r="C51" s="11" t="s">
        <v>100</v>
      </c>
    </row>
    <row r="52" customFormat="false" ht="15" hidden="false" customHeight="false" outlineLevel="0" collapsed="false">
      <c r="A52" s="9" t="s">
        <v>101</v>
      </c>
      <c r="B52" s="10" t="n">
        <v>41000</v>
      </c>
      <c r="C52" s="11" t="s">
        <v>102</v>
      </c>
    </row>
    <row r="53" customFormat="false" ht="15" hidden="false" customHeight="false" outlineLevel="0" collapsed="false">
      <c r="A53" s="9" t="s">
        <v>103</v>
      </c>
      <c r="B53" s="10" t="n">
        <v>26000</v>
      </c>
      <c r="C53" s="11" t="s">
        <v>104</v>
      </c>
    </row>
    <row r="54" customFormat="false" ht="15" hidden="false" customHeight="false" outlineLevel="0" collapsed="false">
      <c r="A54" s="9" t="s">
        <v>105</v>
      </c>
      <c r="B54" s="10" t="n">
        <v>18000</v>
      </c>
      <c r="C54" s="11" t="s">
        <v>106</v>
      </c>
    </row>
    <row r="55" customFormat="false" ht="15" hidden="false" customHeight="false" outlineLevel="0" collapsed="false">
      <c r="A55" s="9" t="s">
        <v>107</v>
      </c>
      <c r="B55" s="10" t="n">
        <v>5530000</v>
      </c>
      <c r="C55" s="11" t="s">
        <v>108</v>
      </c>
    </row>
    <row r="56" customFormat="false" ht="15" hidden="false" customHeight="false" outlineLevel="0" collapsed="false">
      <c r="A56" s="9" t="s">
        <v>109</v>
      </c>
      <c r="B56" s="10" t="n">
        <v>5610000</v>
      </c>
      <c r="C56" s="11" t="s">
        <v>110</v>
      </c>
    </row>
    <row r="57" customFormat="false" ht="15" hidden="false" customHeight="false" outlineLevel="0" collapsed="false">
      <c r="A57" s="9" t="s">
        <v>111</v>
      </c>
      <c r="B57" s="10" t="n">
        <v>-24000</v>
      </c>
      <c r="C57" s="11" t="s">
        <v>112</v>
      </c>
    </row>
    <row r="58" customFormat="false" ht="15" hidden="false" customHeight="false" outlineLevel="0" collapsed="false">
      <c r="A58" s="4" t="s">
        <v>113</v>
      </c>
      <c r="B58" s="8"/>
      <c r="C58" s="8"/>
    </row>
    <row r="60" customFormat="false" ht="15" hidden="false" customHeight="false" outlineLevel="0" collapsed="false">
      <c r="A60" s="9" t="s">
        <v>114</v>
      </c>
      <c r="B60" s="12" t="n">
        <v>0.46</v>
      </c>
      <c r="C60" s="11" t="s">
        <v>115</v>
      </c>
    </row>
    <row r="61" customFormat="false" ht="15" hidden="false" customHeight="false" outlineLevel="0" collapsed="false">
      <c r="A61" s="9" t="s">
        <v>116</v>
      </c>
      <c r="B61" s="12" t="n">
        <v>0.02</v>
      </c>
      <c r="C61" s="11" t="s">
        <v>117</v>
      </c>
    </row>
    <row r="62" customFormat="false" ht="15" hidden="false" customHeight="false" outlineLevel="0" collapsed="false">
      <c r="A62" s="9" t="s">
        <v>118</v>
      </c>
      <c r="B62" s="12" t="n">
        <v>0.03</v>
      </c>
      <c r="C62" s="11" t="s">
        <v>119</v>
      </c>
    </row>
    <row r="63" customFormat="false" ht="15" hidden="false" customHeight="false" outlineLevel="0" collapsed="false">
      <c r="A63" s="9" t="s">
        <v>120</v>
      </c>
      <c r="B63" s="10" t="n">
        <v>980000</v>
      </c>
      <c r="C63" s="11" t="s">
        <v>121</v>
      </c>
    </row>
    <row r="64" customFormat="false" ht="15" hidden="false" customHeight="false" outlineLevel="0" collapsed="false">
      <c r="A64" s="9" t="s">
        <v>122</v>
      </c>
      <c r="B64" s="12" t="n">
        <v>0.02</v>
      </c>
      <c r="C64" s="11" t="s">
        <v>123</v>
      </c>
    </row>
    <row r="65" customFormat="false" ht="15" hidden="false" customHeight="false" outlineLevel="0" collapsed="false">
      <c r="A65" s="9" t="s">
        <v>124</v>
      </c>
      <c r="B65" s="12" t="n">
        <v>0.25</v>
      </c>
      <c r="C65" s="11" t="s">
        <v>125</v>
      </c>
    </row>
    <row r="66" customFormat="false" ht="15" hidden="false" customHeight="false" outlineLevel="0" collapsed="false">
      <c r="A66" s="9" t="s">
        <v>126</v>
      </c>
      <c r="B66" s="12" t="n">
        <v>0.065</v>
      </c>
      <c r="C66" s="11" t="s">
        <v>127</v>
      </c>
    </row>
    <row r="67" customFormat="false" ht="15" hidden="false" customHeight="false" outlineLevel="0" collapsed="false">
      <c r="A67" s="4" t="s">
        <v>128</v>
      </c>
      <c r="B67" s="8"/>
      <c r="C67" s="8"/>
    </row>
    <row r="69" customFormat="false" ht="15" hidden="false" customHeight="false" outlineLevel="0" collapsed="false">
      <c r="A69" s="9" t="s">
        <v>129</v>
      </c>
      <c r="B69" s="12" t="n">
        <v>0.0025</v>
      </c>
      <c r="C69" s="11" t="s">
        <v>130</v>
      </c>
    </row>
    <row r="70" customFormat="false" ht="15" hidden="false" customHeight="false" outlineLevel="0" collapsed="false">
      <c r="A70" s="9" t="s">
        <v>131</v>
      </c>
      <c r="B70" s="13" t="n">
        <v>5</v>
      </c>
      <c r="C70" s="11" t="s">
        <v>132</v>
      </c>
    </row>
    <row r="71" customFormat="false" ht="15" hidden="false" customHeight="false" outlineLevel="0" collapsed="false">
      <c r="A71" s="9" t="s">
        <v>133</v>
      </c>
      <c r="B71" s="13" t="n">
        <v>0.25</v>
      </c>
      <c r="C71" s="11" t="s">
        <v>134</v>
      </c>
    </row>
    <row r="72" customFormat="false" ht="15" hidden="false" customHeight="false" outlineLevel="0" collapsed="false">
      <c r="A72" s="9" t="s">
        <v>135</v>
      </c>
      <c r="B72" s="13" t="n">
        <v>5</v>
      </c>
      <c r="C72" s="11" t="s">
        <v>136</v>
      </c>
    </row>
    <row r="73" customFormat="false" ht="15" hidden="false" customHeight="false" outlineLevel="0" collapsed="false">
      <c r="A73" s="9" t="s">
        <v>137</v>
      </c>
      <c r="B73" s="12" t="n">
        <v>0.8</v>
      </c>
      <c r="C73" s="11" t="s">
        <v>138</v>
      </c>
    </row>
    <row r="74" customFormat="false" ht="15" hidden="false" customHeight="false" outlineLevel="0" collapsed="false">
      <c r="A74" s="4" t="s">
        <v>139</v>
      </c>
      <c r="B74" s="8"/>
      <c r="C74" s="8"/>
    </row>
    <row r="76" customFormat="false" ht="15" hidden="false" customHeight="false" outlineLevel="0" collapsed="false">
      <c r="A76" s="9" t="s">
        <v>140</v>
      </c>
      <c r="B76" s="12" t="n">
        <v>0.42</v>
      </c>
      <c r="C76" s="11" t="s">
        <v>141</v>
      </c>
    </row>
    <row r="77" customFormat="false" ht="15" hidden="false" customHeight="false" outlineLevel="0" collapsed="false">
      <c r="A77" s="9" t="s">
        <v>142</v>
      </c>
      <c r="B77" s="12" t="n">
        <v>0.045</v>
      </c>
      <c r="C77" s="11" t="s">
        <v>143</v>
      </c>
    </row>
    <row r="78" customFormat="false" ht="15" hidden="false" customHeight="false" outlineLevel="0" collapsed="false">
      <c r="A78" s="9" t="s">
        <v>144</v>
      </c>
      <c r="B78" s="12" t="n">
        <v>0.35</v>
      </c>
      <c r="C78" s="11" t="s">
        <v>145</v>
      </c>
    </row>
    <row r="79" customFormat="false" ht="15" hidden="false" customHeight="false" outlineLevel="0" collapsed="false">
      <c r="A79" s="9" t="s">
        <v>146</v>
      </c>
      <c r="B79" s="13" t="n">
        <v>0.5</v>
      </c>
      <c r="C79" s="11" t="s">
        <v>147</v>
      </c>
    </row>
    <row r="80" customFormat="false" ht="15" hidden="false" customHeight="false" outlineLevel="0" collapsed="false">
      <c r="A80" s="9" t="s">
        <v>148</v>
      </c>
      <c r="B80" s="12" t="n">
        <v>0.62</v>
      </c>
      <c r="C80" s="11" t="s">
        <v>149</v>
      </c>
    </row>
    <row r="81" customFormat="false" ht="15" hidden="false" customHeight="false" outlineLevel="0" collapsed="false">
      <c r="A81" s="4" t="s">
        <v>150</v>
      </c>
      <c r="B81" s="8"/>
      <c r="C81" s="8"/>
    </row>
    <row r="83" customFormat="false" ht="15" hidden="false" customHeight="false" outlineLevel="0" collapsed="false">
      <c r="A83" s="9" t="s">
        <v>151</v>
      </c>
      <c r="B83" s="13" t="n">
        <v>10</v>
      </c>
      <c r="C83" s="11" t="s">
        <v>152</v>
      </c>
    </row>
    <row r="85" customFormat="false" ht="15" hidden="false" customHeight="false" outlineLevel="0" collapsed="false">
      <c r="A85" s="4" t="s">
        <v>153</v>
      </c>
      <c r="B85" s="8"/>
      <c r="C85" s="8"/>
    </row>
    <row r="87" customFormat="false" ht="15" hidden="false" customHeight="false" outlineLevel="0" collapsed="false">
      <c r="A87" s="14" t="s">
        <v>154</v>
      </c>
      <c r="B87" s="15" t="n">
        <f aca="false">CASH+AFS+HTM+LOANS_FIX+LOANS_FLT+OTHER_ASSETS</f>
        <v>8000000</v>
      </c>
    </row>
    <row r="88" customFormat="false" ht="15" hidden="false" customHeight="false" outlineLevel="0" collapsed="false">
      <c r="A88" s="14" t="s">
        <v>155</v>
      </c>
      <c r="B88" s="15" t="n">
        <f aca="false">DEP_NIB+DEP_SAV+DEP_TIME+FHLB+SUBDEBT+OTHER_LIAB+EQUITY</f>
        <v>8000000</v>
      </c>
    </row>
    <row r="89" customFormat="false" ht="15" hidden="false" customHeight="false" outlineLevel="0" collapsed="false">
      <c r="A89" s="14" t="s">
        <v>156</v>
      </c>
      <c r="B89" s="15" t="n">
        <f aca="false">TOT_ASSETS-TOT_LIAB</f>
        <v>0</v>
      </c>
    </row>
    <row r="90" customFormat="false" ht="15" hidden="false" customHeight="false" outlineLevel="0" collapsed="false">
      <c r="A90" s="7" t="s">
        <v>157</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C36"/>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5390625" defaultRowHeight="15" zeroHeight="false" outlineLevelRow="0" outlineLevelCol="0"/>
  <cols>
    <col collapsed="false" customWidth="true" hidden="false" outlineLevel="0" max="1" min="1" style="0" width="58"/>
    <col collapsed="false" customWidth="true" hidden="false" outlineLevel="0" max="2" min="2" style="0" width="18"/>
    <col collapsed="false" customWidth="true" hidden="false" outlineLevel="0" max="3" min="3" style="0" width="4"/>
    <col collapsed="false" customWidth="true" hidden="false" outlineLevel="0" max="4" min="4" style="0" width="70"/>
  </cols>
  <sheetData>
    <row r="1" customFormat="false" ht="24" hidden="false" customHeight="true" outlineLevel="0" collapsed="false">
      <c r="A1" s="1" t="s">
        <v>158</v>
      </c>
    </row>
    <row r="2" customFormat="false" ht="15" hidden="false" customHeight="false" outlineLevel="0" collapsed="false">
      <c r="A2" s="2" t="s">
        <v>159</v>
      </c>
    </row>
    <row r="3" customFormat="false" ht="15" hidden="false" customHeight="false" outlineLevel="0" collapsed="false">
      <c r="A3" s="3"/>
      <c r="B3" s="3"/>
    </row>
    <row r="6" customFormat="false" ht="15" hidden="false" customHeight="false" outlineLevel="0" collapsed="false">
      <c r="A6" s="4" t="s">
        <v>160</v>
      </c>
      <c r="B6" s="8"/>
      <c r="C6" s="8"/>
    </row>
    <row r="8" customFormat="false" ht="15" hidden="false" customHeight="false" outlineLevel="0" collapsed="false">
      <c r="A8" s="9" t="s">
        <v>161</v>
      </c>
      <c r="B8" s="16" t="n">
        <f aca="false">(DEP_NIB+DEP_SAV+DEP_TIME)*UNINS_SHARE</f>
        <v>2980800</v>
      </c>
    </row>
    <row r="9" customFormat="false" ht="15" hidden="false" customHeight="false" outlineLevel="0" collapsed="false">
      <c r="A9" s="9" t="s">
        <v>162</v>
      </c>
      <c r="B9" s="16" t="n">
        <f aca="false">AFS+MV_AFS</f>
        <v>974886.5</v>
      </c>
    </row>
    <row r="10" customFormat="false" ht="15" hidden="false" customHeight="false" outlineLevel="0" collapsed="false">
      <c r="A10" s="9" t="s">
        <v>163</v>
      </c>
      <c r="B10" s="16" t="n">
        <f aca="false">HTM+MV_HTM</f>
        <v>1201499.875</v>
      </c>
    </row>
    <row r="11" customFormat="false" ht="15" hidden="false" customHeight="false" outlineLevel="0" collapsed="false">
      <c r="A11" s="14" t="s">
        <v>164</v>
      </c>
      <c r="B11" s="15" t="n">
        <f aca="false">CASH+AFS_MKT*(1-HAIRCUT_AFS)</f>
        <v>1375388.77</v>
      </c>
    </row>
    <row r="12" customFormat="false" ht="15" hidden="false" customHeight="false" outlineLevel="0" collapsed="false">
      <c r="A12" s="9" t="s">
        <v>165</v>
      </c>
      <c r="B12" s="16" t="n">
        <f aca="false">FHLB_CAP-FHLB</f>
        <v>360000</v>
      </c>
    </row>
    <row r="13" customFormat="false" ht="15" hidden="false" customHeight="false" outlineLevel="0" collapsed="false">
      <c r="A13" s="14" t="s">
        <v>166</v>
      </c>
      <c r="B13" s="15" t="n">
        <f aca="false">LIQ_NOW+FHLB_FREE+HTM_MKT*(1-HAIRCUT_HTM)</f>
        <v>2900843.64875</v>
      </c>
    </row>
    <row r="14" customFormat="false" ht="15" hidden="false" customHeight="false" outlineLevel="0" collapsed="false">
      <c r="A14" s="4" t="s">
        <v>167</v>
      </c>
      <c r="B14" s="8"/>
      <c r="C14" s="8"/>
    </row>
    <row r="16" customFormat="false" ht="15" hidden="false" customHeight="false" outlineLevel="0" collapsed="false">
      <c r="A16" s="9" t="s">
        <v>168</v>
      </c>
      <c r="B16" s="17" t="n">
        <f aca="false">LIQ_TOTAL/UNINSURED</f>
        <v>0.973176210664922</v>
      </c>
    </row>
    <row r="17" customFormat="false" ht="15" hidden="false" customHeight="false" outlineLevel="0" collapsed="false">
      <c r="A17" s="9" t="s">
        <v>169</v>
      </c>
      <c r="B17" s="16" t="n">
        <f aca="false">-MV_HTM_N</f>
        <v>328875.09375</v>
      </c>
    </row>
    <row r="18" customFormat="false" ht="15" hidden="false" customHeight="false" outlineLevel="0" collapsed="false">
      <c r="A18" s="9" t="s">
        <v>170</v>
      </c>
      <c r="B18" s="17" t="n">
        <f aca="false">(CET1_1-WELLCAP*RWA1)/HTM_LOSS</f>
        <v>0.836031688702483</v>
      </c>
    </row>
    <row r="19" customFormat="false" ht="15" hidden="false" customHeight="false" outlineLevel="0" collapsed="false">
      <c r="A19" s="9" t="s">
        <v>171</v>
      </c>
      <c r="B19" s="17" t="n">
        <f aca="false">(CET1_1-HTM_LOSS)/RWA1</f>
        <v>0.0553876838235294</v>
      </c>
    </row>
    <row r="20" customFormat="false" ht="15" hidden="false" customHeight="false" outlineLevel="0" collapsed="false">
      <c r="A20" s="9" t="s">
        <v>172</v>
      </c>
      <c r="B20" s="16" t="n">
        <f aca="false">LIQ_NOW+FHLB_FREE+HTM_MKT*(1-HAIRCUT_HTM)*HTM_SELLABLE</f>
        <v>2709745.98038791</v>
      </c>
    </row>
    <row r="21" customFormat="false" ht="15" hidden="false" customHeight="false" outlineLevel="0" collapsed="false">
      <c r="A21" s="14" t="s">
        <v>173</v>
      </c>
      <c r="B21" s="18" t="n">
        <f aca="false">LIQ_CONSTRAINED/UNINSURED</f>
        <v>0.909066686925627</v>
      </c>
    </row>
    <row r="22" customFormat="false" ht="15" hidden="false" customHeight="false" outlineLevel="0" collapsed="false">
      <c r="A22" s="4" t="s">
        <v>174</v>
      </c>
      <c r="B22" s="8"/>
      <c r="C22" s="8"/>
    </row>
    <row r="24" customFormat="false" ht="15" hidden="false" customHeight="false" outlineLevel="0" collapsed="false">
      <c r="A24" s="9" t="s">
        <v>175</v>
      </c>
      <c r="B24" s="19" t="n">
        <f aca="false">LIQ_TOTAL/(UNINSURED*OUT_SLOW)</f>
        <v>48.6588105332461</v>
      </c>
    </row>
    <row r="25" customFormat="false" ht="15" hidden="false" customHeight="false" outlineLevel="0" collapsed="false">
      <c r="A25" s="14" t="s">
        <v>176</v>
      </c>
      <c r="B25" s="20" t="n">
        <f aca="false">LIQ_TOTAL/(UNINSURED*OUT_FAST)</f>
        <v>3.89270484265969</v>
      </c>
    </row>
    <row r="26" customFormat="false" ht="15" hidden="false" customHeight="false" outlineLevel="0" collapsed="false">
      <c r="A26" s="4" t="s">
        <v>177</v>
      </c>
      <c r="B26" s="8"/>
      <c r="C26" s="8"/>
    </row>
    <row r="28" customFormat="false" ht="15" hidden="false" customHeight="false" outlineLevel="0" collapsed="false">
      <c r="A28" s="14" t="s">
        <v>178</v>
      </c>
      <c r="B28" s="18" t="n">
        <f aca="false">1-(-MV_FIX_N-MV_TIME_N)/FRANCHISE_N</f>
        <v>0.280214285714286</v>
      </c>
    </row>
    <row r="29" customFormat="false" ht="15" hidden="false" customHeight="false" outlineLevel="0" collapsed="false">
      <c r="A29" s="9" t="s">
        <v>179</v>
      </c>
      <c r="B29" s="16" t="n">
        <f aca="false">EQUITY+SUBDEBT</f>
        <v>810000</v>
      </c>
    </row>
    <row r="30" customFormat="false" ht="15" hidden="false" customHeight="false" outlineLevel="0" collapsed="false">
      <c r="A30" s="9" t="s">
        <v>180</v>
      </c>
      <c r="B30" s="21" t="n">
        <f aca="false">UNINSURED/CAP_STACK</f>
        <v>3.68</v>
      </c>
    </row>
    <row r="32" customFormat="false" ht="15" hidden="false" customHeight="false" outlineLevel="0" collapsed="false">
      <c r="A32" s="4" t="s">
        <v>181</v>
      </c>
    </row>
    <row r="34" customFormat="false" ht="15" hidden="false" customHeight="false" outlineLevel="0" collapsed="false">
      <c r="A34" s="9" t="s">
        <v>182</v>
      </c>
      <c r="B34" s="17" t="n">
        <f aca="false">(CET1_1-HTM_SELLABLE*HTM_LOSS)/RWA1</f>
        <v>0.065</v>
      </c>
    </row>
    <row r="35" customFormat="false" ht="15" hidden="false" customHeight="false" outlineLevel="0" collapsed="false">
      <c r="A35" s="9" t="s">
        <v>183</v>
      </c>
      <c r="B35" s="22" t="n">
        <f aca="false">TCE+MV_FIX_N+MV_TIME_N+FRANCHISE_N*(1-RUN_THRESHOLD)</f>
        <v>156889.78125</v>
      </c>
    </row>
    <row r="36" customFormat="false" ht="15" hidden="false" customHeight="false" outlineLevel="0" collapsed="false">
      <c r="A36" s="9" t="s">
        <v>184</v>
      </c>
      <c r="B36" s="22" t="n">
        <f aca="false">TCE</f>
        <v>156889.78125</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C16"/>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5390625" defaultRowHeight="15" zeroHeight="false" outlineLevelRow="0" outlineLevelCol="0"/>
  <cols>
    <col collapsed="false" customWidth="true" hidden="false" outlineLevel="0" max="1" min="1" style="0" width="30"/>
    <col collapsed="false" customWidth="true" hidden="false" outlineLevel="0" max="3" min="2" style="0" width="18"/>
    <col collapsed="false" customWidth="true" hidden="false" outlineLevel="0" max="4" min="4" style="0" width="58"/>
  </cols>
  <sheetData>
    <row r="1" customFormat="false" ht="24" hidden="false" customHeight="true" outlineLevel="0" collapsed="false">
      <c r="A1" s="1" t="s">
        <v>185</v>
      </c>
    </row>
    <row r="2" customFormat="false" ht="15" hidden="false" customHeight="false" outlineLevel="0" collapsed="false">
      <c r="A2" s="2" t="s">
        <v>186</v>
      </c>
    </row>
    <row r="3" customFormat="false" ht="15" hidden="false" customHeight="false" outlineLevel="0" collapsed="false">
      <c r="A3" s="3"/>
      <c r="B3" s="3"/>
      <c r="C3" s="3"/>
    </row>
    <row r="6" customFormat="false" ht="31.5" hidden="false" customHeight="true" outlineLevel="0" collapsed="false">
      <c r="A6" s="23" t="s">
        <v>187</v>
      </c>
      <c r="B6" s="24" t="s">
        <v>188</v>
      </c>
      <c r="C6" s="24" t="s">
        <v>189</v>
      </c>
    </row>
    <row r="7" customFormat="false" ht="15" hidden="false" customHeight="false" outlineLevel="0" collapsed="false">
      <c r="A7" s="9" t="s">
        <v>190</v>
      </c>
      <c r="B7" s="19" t="n">
        <f aca="false">LIQ_TOTAL/(UNINSURED*0.01)</f>
        <v>97.3176210664922</v>
      </c>
      <c r="C7" s="19" t="n">
        <f aca="false">LIQ_CONSTRAINED/(UNINSURED*0.01)</f>
        <v>90.9066686925628</v>
      </c>
    </row>
    <row r="8" customFormat="false" ht="15" hidden="false" customHeight="false" outlineLevel="0" collapsed="false">
      <c r="A8" s="25" t="s">
        <v>191</v>
      </c>
      <c r="B8" s="26" t="n">
        <f aca="false">LIQ_TOTAL/(UNINSURED*0.02)</f>
        <v>48.6588105332461</v>
      </c>
      <c r="C8" s="26" t="n">
        <f aca="false">LIQ_CONSTRAINED/(UNINSURED*0.02)</f>
        <v>45.4533343462814</v>
      </c>
    </row>
    <row r="9" customFormat="false" ht="15" hidden="false" customHeight="false" outlineLevel="0" collapsed="false">
      <c r="A9" s="9" t="s">
        <v>192</v>
      </c>
      <c r="B9" s="19" t="n">
        <f aca="false">LIQ_TOTAL/(UNINSURED*0.05)</f>
        <v>19.4635242132984</v>
      </c>
      <c r="C9" s="19" t="n">
        <f aca="false">LIQ_CONSTRAINED/(UNINSURED*0.05)</f>
        <v>18.1813337385126</v>
      </c>
    </row>
    <row r="10" customFormat="false" ht="15" hidden="false" customHeight="false" outlineLevel="0" collapsed="false">
      <c r="A10" s="25" t="s">
        <v>193</v>
      </c>
      <c r="B10" s="26" t="n">
        <f aca="false">LIQ_TOTAL/(UNINSURED*0.1)</f>
        <v>9.73176210664922</v>
      </c>
      <c r="C10" s="26" t="n">
        <f aca="false">LIQ_CONSTRAINED/(UNINSURED*0.1)</f>
        <v>9.09066686925628</v>
      </c>
    </row>
    <row r="11" customFormat="false" ht="15" hidden="false" customHeight="false" outlineLevel="0" collapsed="false">
      <c r="A11" s="9" t="s">
        <v>194</v>
      </c>
      <c r="B11" s="19" t="n">
        <f aca="false">LIQ_TOTAL/(UNINSURED*0.15)</f>
        <v>6.48784140443281</v>
      </c>
      <c r="C11" s="19" t="n">
        <f aca="false">LIQ_CONSTRAINED/(UNINSURED*0.15)</f>
        <v>6.06044457950418</v>
      </c>
    </row>
    <row r="12" customFormat="false" ht="15" hidden="false" customHeight="false" outlineLevel="0" collapsed="false">
      <c r="A12" s="25" t="s">
        <v>195</v>
      </c>
      <c r="B12" s="26" t="n">
        <f aca="false">LIQ_TOTAL/(UNINSURED*0.2)</f>
        <v>4.86588105332461</v>
      </c>
      <c r="C12" s="26" t="n">
        <f aca="false">LIQ_CONSTRAINED/(UNINSURED*0.2)</f>
        <v>4.54533343462814</v>
      </c>
    </row>
    <row r="13" customFormat="false" ht="15" hidden="false" customHeight="false" outlineLevel="0" collapsed="false">
      <c r="A13" s="9" t="s">
        <v>196</v>
      </c>
      <c r="B13" s="19" t="n">
        <f aca="false">LIQ_TOTAL/(UNINSURED*0.25)</f>
        <v>3.89270484265969</v>
      </c>
      <c r="C13" s="19" t="n">
        <f aca="false">LIQ_CONSTRAINED/(UNINSURED*0.25)</f>
        <v>3.63626674770251</v>
      </c>
    </row>
    <row r="14" customFormat="false" ht="15" hidden="false" customHeight="false" outlineLevel="0" collapsed="false">
      <c r="A14" s="25" t="s">
        <v>197</v>
      </c>
      <c r="B14" s="26" t="n">
        <f aca="false">LIQ_TOTAL/(UNINSURED*0.35)</f>
        <v>2.78050345904264</v>
      </c>
      <c r="C14" s="26" t="n">
        <f aca="false">LIQ_CONSTRAINED/(UNINSURED*0.35)</f>
        <v>2.59733339121608</v>
      </c>
    </row>
    <row r="16" customFormat="false" ht="15" hidden="false" customHeight="false" outlineLevel="0" collapsed="false">
      <c r="A16" s="7" t="s">
        <v>198</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C25"/>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5390625" defaultRowHeight="15" zeroHeight="false" outlineLevelRow="0" outlineLevelCol="0"/>
  <cols>
    <col collapsed="false" customWidth="true" hidden="false" outlineLevel="0" max="1" min="1" style="0" width="58"/>
    <col collapsed="false" customWidth="true" hidden="false" outlineLevel="0" max="2" min="2" style="0" width="18"/>
    <col collapsed="false" customWidth="true" hidden="false" outlineLevel="0" max="3" min="3" style="0" width="4"/>
    <col collapsed="false" customWidth="true" hidden="false" outlineLevel="0" max="4" min="4" style="0" width="70"/>
  </cols>
  <sheetData>
    <row r="1" customFormat="false" ht="24" hidden="false" customHeight="true" outlineLevel="0" collapsed="false">
      <c r="A1" s="1" t="s">
        <v>199</v>
      </c>
    </row>
    <row r="2" customFormat="false" ht="15" hidden="false" customHeight="false" outlineLevel="0" collapsed="false">
      <c r="A2" s="2" t="s">
        <v>200</v>
      </c>
    </row>
    <row r="3" customFormat="false" ht="15" hidden="false" customHeight="false" outlineLevel="0" collapsed="false">
      <c r="A3" s="3"/>
      <c r="B3" s="3"/>
    </row>
    <row r="6" customFormat="false" ht="15" hidden="false" customHeight="false" outlineLevel="0" collapsed="false">
      <c r="A6" s="4" t="s">
        <v>201</v>
      </c>
      <c r="B6" s="8"/>
      <c r="C6" s="8"/>
    </row>
    <row r="8" customFormat="false" ht="15" hidden="false" customHeight="false" outlineLevel="0" collapsed="false">
      <c r="A8" s="9" t="s">
        <v>202</v>
      </c>
      <c r="B8" s="16" t="n">
        <f aca="false">AOCI0*(1-TAX)</f>
        <v>-18000</v>
      </c>
    </row>
    <row r="9" customFormat="false" ht="15" hidden="false" customHeight="false" outlineLevel="0" collapsed="false">
      <c r="A9" s="9" t="s">
        <v>203</v>
      </c>
      <c r="B9" s="16" t="n">
        <f aca="false">EQUITY-GOODWILL-AOCI0_N</f>
        <v>630000</v>
      </c>
    </row>
    <row r="10" customFormat="false" ht="15" hidden="false" customHeight="false" outlineLevel="0" collapsed="false">
      <c r="A10" s="9" t="s">
        <v>204</v>
      </c>
      <c r="B10" s="16" t="n">
        <f aca="false">EQUITY+RETAINED+(MV_AFS_N-AOCI0_N)</f>
        <v>533764.875</v>
      </c>
    </row>
    <row r="11" customFormat="false" ht="15" hidden="false" customHeight="false" outlineLevel="0" collapsed="false">
      <c r="A11" s="14" t="s">
        <v>205</v>
      </c>
      <c r="B11" s="15" t="n">
        <f aca="false">EQUITY1-GOODWILL-MV_AFS_N</f>
        <v>639600</v>
      </c>
    </row>
    <row r="12" customFormat="false" ht="15" hidden="false" customHeight="false" outlineLevel="0" collapsed="false">
      <c r="A12" s="14" t="s">
        <v>206</v>
      </c>
      <c r="B12" s="15" t="n">
        <f aca="false">CET1_1+MV_AFS_N</f>
        <v>485764.875</v>
      </c>
    </row>
    <row r="13" customFormat="false" ht="15" hidden="false" customHeight="false" outlineLevel="0" collapsed="false">
      <c r="A13" s="9" t="s">
        <v>207</v>
      </c>
      <c r="B13" s="16" t="n">
        <f aca="false">TOT_ASSETS+RETAINED+(MV_AFS_N-AOCI0_N)</f>
        <v>7873764.875</v>
      </c>
    </row>
    <row r="14" customFormat="false" ht="15" hidden="false" customHeight="false" outlineLevel="0" collapsed="false">
      <c r="A14" s="14" t="s">
        <v>208</v>
      </c>
      <c r="B14" s="15" t="n">
        <f aca="false">EQUITY1-GOODWILL+MV_HTM_N</f>
        <v>156889.78125</v>
      </c>
    </row>
    <row r="15" customFormat="false" ht="15" hidden="false" customHeight="false" outlineLevel="0" collapsed="false">
      <c r="A15" s="9" t="s">
        <v>209</v>
      </c>
      <c r="B15" s="16" t="n">
        <f aca="false">ASSETS1-GOODWILL+MV_HTM_N</f>
        <v>7496889.78125</v>
      </c>
    </row>
    <row r="16" customFormat="false" ht="15" hidden="false" customHeight="false" outlineLevel="0" collapsed="false">
      <c r="A16" s="14" t="s">
        <v>210</v>
      </c>
      <c r="B16" s="15" t="n">
        <f aca="false">TCE+MV_FIX_N+FRANCHISE_N+MV_TIME_N</f>
        <v>278809.265625</v>
      </c>
    </row>
    <row r="17" customFormat="false" ht="15" hidden="false" customHeight="false" outlineLevel="0" collapsed="false">
      <c r="A17" s="9" t="s">
        <v>211</v>
      </c>
      <c r="B17" s="16" t="n">
        <f aca="false">TANG_ASSETS+MV_FIX_N</f>
        <v>7177346.890625</v>
      </c>
    </row>
    <row r="18" customFormat="false" ht="15" hidden="false" customHeight="false" outlineLevel="0" collapsed="false">
      <c r="A18" s="4" t="s">
        <v>212</v>
      </c>
      <c r="B18" s="8"/>
      <c r="C18" s="8"/>
    </row>
    <row r="20" customFormat="false" ht="15" hidden="false" customHeight="false" outlineLevel="0" collapsed="false">
      <c r="A20" s="9" t="s">
        <v>213</v>
      </c>
      <c r="B20" s="17" t="n">
        <f aca="false">CET1_1/RWA1</f>
        <v>0.114010695187166</v>
      </c>
    </row>
    <row r="21" customFormat="false" ht="15" hidden="false" customHeight="false" outlineLevel="0" collapsed="false">
      <c r="A21" s="9" t="s">
        <v>214</v>
      </c>
      <c r="B21" s="17" t="n">
        <f aca="false">CET1_2/RWA1</f>
        <v>0.0865891042780749</v>
      </c>
    </row>
    <row r="22" customFormat="false" ht="15" hidden="false" customHeight="false" outlineLevel="0" collapsed="false">
      <c r="A22" s="9" t="s">
        <v>215</v>
      </c>
      <c r="B22" s="17" t="n">
        <f aca="false">TCE/TANG_ASSETS</f>
        <v>0.0209273159707359</v>
      </c>
    </row>
    <row r="23" customFormat="false" ht="15" hidden="false" customHeight="false" outlineLevel="0" collapsed="false">
      <c r="A23" s="9" t="s">
        <v>216</v>
      </c>
      <c r="B23" s="17" t="n">
        <f aca="false">EVE/EVE_BASE</f>
        <v>0.0388457280766489</v>
      </c>
    </row>
    <row r="24" customFormat="false" ht="15" hidden="false" customHeight="false" outlineLevel="0" collapsed="false">
      <c r="A24" s="9" t="s">
        <v>217</v>
      </c>
      <c r="B24" s="17" t="n">
        <f aca="false">CET1_0/RWA0</f>
        <v>0.113924050632911</v>
      </c>
    </row>
    <row r="25" customFormat="false" ht="15" hidden="false" customHeight="false" outlineLevel="0" collapsed="false">
      <c r="A25" s="14" t="s">
        <v>218</v>
      </c>
      <c r="B25" s="18" t="n">
        <f aca="false">R1-R3</f>
        <v>0.0930833792164299</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C20"/>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5390625" defaultRowHeight="15" zeroHeight="false" outlineLevelRow="0" outlineLevelCol="0"/>
  <cols>
    <col collapsed="false" customWidth="true" hidden="false" outlineLevel="0" max="1" min="1" style="0" width="58"/>
    <col collapsed="false" customWidth="true" hidden="false" outlineLevel="0" max="2" min="2" style="0" width="18"/>
    <col collapsed="false" customWidth="true" hidden="false" outlineLevel="0" max="3" min="3" style="0" width="4"/>
    <col collapsed="false" customWidth="true" hidden="false" outlineLevel="0" max="4" min="4" style="0" width="70"/>
  </cols>
  <sheetData>
    <row r="1" customFormat="false" ht="24" hidden="false" customHeight="true" outlineLevel="0" collapsed="false">
      <c r="A1" s="1" t="s">
        <v>219</v>
      </c>
    </row>
    <row r="2" customFormat="false" ht="15" hidden="false" customHeight="false" outlineLevel="0" collapsed="false">
      <c r="A2" s="2" t="s">
        <v>220</v>
      </c>
    </row>
    <row r="3" customFormat="false" ht="15" hidden="false" customHeight="false" outlineLevel="0" collapsed="false">
      <c r="A3" s="3"/>
      <c r="B3" s="3"/>
    </row>
    <row r="6" customFormat="false" ht="15" hidden="false" customHeight="false" outlineLevel="0" collapsed="false">
      <c r="A6" s="4" t="s">
        <v>221</v>
      </c>
      <c r="B6" s="8"/>
      <c r="C6" s="8"/>
    </row>
    <row r="8" customFormat="false" ht="15" hidden="false" customHeight="false" outlineLevel="0" collapsed="false">
      <c r="A8" s="9" t="s">
        <v>222</v>
      </c>
      <c r="B8" s="17" t="n">
        <f aca="false">-DUR_AFS*SHOCK+0.5*CVX_AFS*SHOCK^2</f>
        <v>-0.173825</v>
      </c>
    </row>
    <row r="9" customFormat="false" ht="15" hidden="false" customHeight="false" outlineLevel="0" collapsed="false">
      <c r="A9" s="9" t="s">
        <v>223</v>
      </c>
      <c r="B9" s="17" t="n">
        <f aca="false">-DUR_HTM*SHOCK+0.5*CVX_HTM*SHOCK^2</f>
        <v>-0.267378125</v>
      </c>
    </row>
    <row r="10" customFormat="false" ht="15" hidden="false" customHeight="false" outlineLevel="0" collapsed="false">
      <c r="A10" s="9" t="s">
        <v>224</v>
      </c>
      <c r="B10" s="17" t="n">
        <f aca="false">-DUR_FIX*SHOCK+0.5*CVX_FIX*SHOCK^2</f>
        <v>-0.14949375</v>
      </c>
    </row>
    <row r="11" customFormat="false" ht="15" hidden="false" customHeight="false" outlineLevel="0" collapsed="false">
      <c r="A11" s="4" t="s">
        <v>225</v>
      </c>
      <c r="B11" s="8"/>
      <c r="C11" s="8"/>
    </row>
    <row r="13" customFormat="false" ht="15" hidden="false" customHeight="false" outlineLevel="0" collapsed="false">
      <c r="A13" s="9" t="s">
        <v>226</v>
      </c>
      <c r="B13" s="16" t="n">
        <f aca="false">AFS*PX_AFS</f>
        <v>-205113.5</v>
      </c>
    </row>
    <row r="14" customFormat="false" ht="15" hidden="false" customHeight="false" outlineLevel="0" collapsed="false">
      <c r="A14" s="9" t="s">
        <v>227</v>
      </c>
      <c r="B14" s="16" t="n">
        <f aca="false">HTM*PX_HTM</f>
        <v>-438500.125</v>
      </c>
    </row>
    <row r="15" customFormat="false" ht="15" hidden="false" customHeight="false" outlineLevel="0" collapsed="false">
      <c r="A15" s="9" t="s">
        <v>228</v>
      </c>
      <c r="B15" s="16" t="n">
        <f aca="false">LOANS_FIX*PX_FIX</f>
        <v>-426057.1875</v>
      </c>
    </row>
    <row r="16" customFormat="false" ht="15" hidden="false" customHeight="false" outlineLevel="0" collapsed="false">
      <c r="A16" s="9" t="s">
        <v>229</v>
      </c>
      <c r="B16" s="16" t="n">
        <f aca="false">MV_AFS*(1-TAX)</f>
        <v>-153835.125</v>
      </c>
    </row>
    <row r="17" customFormat="false" ht="15" hidden="false" customHeight="false" outlineLevel="0" collapsed="false">
      <c r="A17" s="9" t="s">
        <v>230</v>
      </c>
      <c r="B17" s="16" t="n">
        <f aca="false">MV_HTM*(1-TAX)</f>
        <v>-328875.09375</v>
      </c>
    </row>
    <row r="18" customFormat="false" ht="15" hidden="false" customHeight="false" outlineLevel="0" collapsed="false">
      <c r="A18" s="9" t="s">
        <v>231</v>
      </c>
      <c r="B18" s="16" t="n">
        <f aca="false">MV_FIX*(1-TAX)</f>
        <v>-319542.890625</v>
      </c>
    </row>
    <row r="19" customFormat="false" ht="15" hidden="false" customHeight="false" outlineLevel="0" collapsed="false">
      <c r="A19" s="9" t="s">
        <v>232</v>
      </c>
      <c r="B19" s="16" t="n">
        <f aca="false">DEP_TIME*(1-BETA_TIME)*DUR_TIME*SHOCK*(1-TAX)</f>
        <v>6368.625</v>
      </c>
    </row>
    <row r="20" customFormat="false" ht="15" hidden="false" customHeight="false" outlineLevel="0" collapsed="false">
      <c r="A20" s="9" t="s">
        <v>233</v>
      </c>
      <c r="B20" s="16" t="n">
        <f aca="false">(DEP_NIB+DEP_SAV)*(1-BETA_SAV)*DEP_LIFE*SHOCK*(1-TAX)</f>
        <v>435093.75</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C28"/>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5390625" defaultRowHeight="15" zeroHeight="false" outlineLevelRow="0" outlineLevelCol="0"/>
  <cols>
    <col collapsed="false" customWidth="true" hidden="false" outlineLevel="0" max="1" min="1" style="0" width="58"/>
    <col collapsed="false" customWidth="true" hidden="false" outlineLevel="0" max="2" min="2" style="0" width="18"/>
    <col collapsed="false" customWidth="true" hidden="false" outlineLevel="0" max="3" min="3" style="0" width="4"/>
    <col collapsed="false" customWidth="true" hidden="false" outlineLevel="0" max="4" min="4" style="0" width="70"/>
  </cols>
  <sheetData>
    <row r="1" customFormat="false" ht="24" hidden="false" customHeight="true" outlineLevel="0" collapsed="false">
      <c r="A1" s="1" t="s">
        <v>234</v>
      </c>
    </row>
    <row r="2" customFormat="false" ht="15" hidden="false" customHeight="false" outlineLevel="0" collapsed="false">
      <c r="A2" s="2" t="s">
        <v>235</v>
      </c>
    </row>
    <row r="3" customFormat="false" ht="15" hidden="false" customHeight="false" outlineLevel="0" collapsed="false">
      <c r="A3" s="3"/>
      <c r="B3" s="3"/>
    </row>
    <row r="6" customFormat="false" ht="15" hidden="false" customHeight="false" outlineLevel="0" collapsed="false">
      <c r="A6" s="4" t="s">
        <v>236</v>
      </c>
      <c r="B6" s="8"/>
      <c r="C6" s="8"/>
    </row>
    <row r="8" customFormat="false" ht="15" hidden="false" customHeight="false" outlineLevel="0" collapsed="false">
      <c r="A8" s="9" t="s">
        <v>237</v>
      </c>
      <c r="B8" s="17" t="n">
        <f aca="false">MKT0+SPREAD_FLT</f>
        <v>0.0395</v>
      </c>
    </row>
    <row r="9" customFormat="false" ht="15" hidden="false" customHeight="false" outlineLevel="0" collapsed="false">
      <c r="A9" s="9" t="s">
        <v>238</v>
      </c>
      <c r="B9" s="16" t="n">
        <f aca="false">CASH*Y_CASH+AFS*Y_AFS+HTM*Y_HTM+LOANS_FIX*Y_FIX+LOANS_FLT*Y_FLT0</f>
        <v>246192</v>
      </c>
    </row>
    <row r="10" customFormat="false" ht="15" hidden="false" customHeight="false" outlineLevel="0" collapsed="false">
      <c r="A10" s="9" t="s">
        <v>239</v>
      </c>
      <c r="B10" s="16" t="n">
        <f aca="false">DEP_SAV*C_SAV+DEP_TIME*C_TIME+FHLB*C_FHLB+SUBDEBT*C_SUB</f>
        <v>34657</v>
      </c>
    </row>
    <row r="11" customFormat="false" ht="15" hidden="false" customHeight="false" outlineLevel="0" collapsed="false">
      <c r="A11" s="14" t="s">
        <v>240</v>
      </c>
      <c r="B11" s="15" t="n">
        <f aca="false">INC0-EXP0</f>
        <v>211535</v>
      </c>
    </row>
    <row r="12" customFormat="false" ht="15" hidden="false" customHeight="false" outlineLevel="0" collapsed="false">
      <c r="A12" s="9" t="s">
        <v>241</v>
      </c>
      <c r="B12" s="16" t="n">
        <f aca="false">CASH+AFS+HTM+LOANS_FIX+LOANS_FLT</f>
        <v>7700000</v>
      </c>
    </row>
    <row r="13" customFormat="false" ht="15" hidden="false" customHeight="false" outlineLevel="0" collapsed="false">
      <c r="A13" s="9" t="s">
        <v>242</v>
      </c>
      <c r="B13" s="17" t="n">
        <f aca="false">NII0/EARNING</f>
        <v>0.0274720779220779</v>
      </c>
    </row>
    <row r="14" customFormat="false" ht="15" hidden="false" customHeight="false" outlineLevel="0" collapsed="false">
      <c r="A14" s="4" t="s">
        <v>243</v>
      </c>
      <c r="B14" s="8"/>
      <c r="C14" s="8"/>
    </row>
    <row r="16" customFormat="false" ht="15" hidden="false" customHeight="false" outlineLevel="0" collapsed="false">
      <c r="A16" s="9" t="s">
        <v>244</v>
      </c>
      <c r="B16" s="17" t="n">
        <f aca="false">MKT0+SHOCK+SPREAD_FLT</f>
        <v>0.082</v>
      </c>
    </row>
    <row r="17" customFormat="false" ht="15" hidden="false" customHeight="false" outlineLevel="0" collapsed="false">
      <c r="A17" s="9" t="s">
        <v>245</v>
      </c>
      <c r="B17" s="17" t="n">
        <f aca="false">C_SAV+BETA_SAV*SHOCK</f>
        <v>0.016675</v>
      </c>
    </row>
    <row r="18" customFormat="false" ht="15" hidden="false" customHeight="false" outlineLevel="0" collapsed="false">
      <c r="A18" s="9" t="s">
        <v>246</v>
      </c>
      <c r="B18" s="17" t="n">
        <f aca="false">C_TIME+BETA_TIME*SHOCK</f>
        <v>0.044625</v>
      </c>
    </row>
    <row r="19" customFormat="false" ht="15" hidden="false" customHeight="false" outlineLevel="0" collapsed="false">
      <c r="A19" s="9" t="s">
        <v>247</v>
      </c>
      <c r="B19" s="17" t="n">
        <f aca="false">C_FHLB+SHOCK</f>
        <v>0.056</v>
      </c>
    </row>
    <row r="20" customFormat="false" ht="15" hidden="false" customHeight="false" outlineLevel="0" collapsed="false">
      <c r="A20" s="9" t="s">
        <v>248</v>
      </c>
      <c r="B20" s="16" t="n">
        <f aca="false">CASH*(Y_CASH+SHOCK)+AFS*Y_AFS+HTM*Y_HTM+LOANS_FIX*Y_FIX+LOANS_FLT*Y_FLT1</f>
        <v>332467</v>
      </c>
    </row>
    <row r="21" customFormat="false" ht="15" hidden="false" customHeight="false" outlineLevel="0" collapsed="false">
      <c r="A21" s="9" t="s">
        <v>249</v>
      </c>
      <c r="B21" s="16" t="n">
        <f aca="false">DEP_SAV*C_SAV1+DEP_TIME*C_TIME1+FHLB*C_FHLB1+SUBDEBT*C_SUB</f>
        <v>162667</v>
      </c>
    </row>
    <row r="22" customFormat="false" ht="15" hidden="false" customHeight="false" outlineLevel="0" collapsed="false">
      <c r="A22" s="14" t="s">
        <v>250</v>
      </c>
      <c r="B22" s="15" t="n">
        <f aca="false">INC1-EXP1</f>
        <v>169800</v>
      </c>
    </row>
    <row r="23" customFormat="false" ht="15" hidden="false" customHeight="false" outlineLevel="0" collapsed="false">
      <c r="A23" s="9" t="s">
        <v>251</v>
      </c>
      <c r="B23" s="17" t="n">
        <f aca="false">NII1/EARNING</f>
        <v>0.0220519480519481</v>
      </c>
    </row>
    <row r="24" customFormat="false" ht="15" hidden="false" customHeight="false" outlineLevel="0" collapsed="false">
      <c r="A24" s="4" t="s">
        <v>252</v>
      </c>
      <c r="B24" s="8"/>
      <c r="C24" s="8"/>
    </row>
    <row r="26" customFormat="false" ht="15" hidden="false" customHeight="false" outlineLevel="0" collapsed="false">
      <c r="A26" s="9" t="s">
        <v>253</v>
      </c>
      <c r="B26" s="16" t="n">
        <f aca="false">NII1+FEES-OPEX-PROVISION</f>
        <v>36800</v>
      </c>
    </row>
    <row r="27" customFormat="false" ht="15" hidden="false" customHeight="false" outlineLevel="0" collapsed="false">
      <c r="A27" s="14" t="s">
        <v>254</v>
      </c>
      <c r="B27" s="15" t="n">
        <f aca="false">PBT*(1-TAX)</f>
        <v>27600</v>
      </c>
    </row>
    <row r="28" customFormat="false" ht="15" hidden="false" customHeight="false" outlineLevel="0" collapsed="false">
      <c r="A28" s="9" t="s">
        <v>255</v>
      </c>
      <c r="B28" s="16" t="n">
        <f aca="false">NET_INCOME-DIVIDEND</f>
        <v>9600</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F28"/>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0" ySplit="7" topLeftCell="A8" activePane="bottomLeft" state="frozen"/>
      <selection pane="topLeft" activeCell="A1" activeCellId="0" sqref="A1"/>
      <selection pane="bottomLeft" activeCell="A1" activeCellId="0" sqref="A1"/>
    </sheetView>
  </sheetViews>
  <sheetFormatPr defaultColWidth="8.5390625" defaultRowHeight="15" zeroHeight="false" outlineLevelRow="0" outlineLevelCol="0"/>
  <cols>
    <col collapsed="false" customWidth="true" hidden="false" outlineLevel="0" max="1" min="1" style="0" width="7"/>
    <col collapsed="false" customWidth="true" hidden="false" outlineLevel="0" max="2" min="2" style="0" width="74"/>
    <col collapsed="false" customWidth="true" hidden="false" outlineLevel="0" max="4" min="3" style="0" width="20"/>
    <col collapsed="false" customWidth="true" hidden="false" outlineLevel="0" max="5" min="5" style="0" width="16"/>
    <col collapsed="false" customWidth="true" hidden="false" outlineLevel="0" max="6" min="6" style="0" width="11"/>
  </cols>
  <sheetData>
    <row r="1" customFormat="false" ht="24" hidden="false" customHeight="true" outlineLevel="0" collapsed="false">
      <c r="A1" s="1" t="s">
        <v>256</v>
      </c>
    </row>
    <row r="2" customFormat="false" ht="15" hidden="false" customHeight="false" outlineLevel="0" collapsed="false">
      <c r="A2" s="2" t="s">
        <v>257</v>
      </c>
    </row>
    <row r="3" customFormat="false" ht="15" hidden="false" customHeight="false" outlineLevel="0" collapsed="false">
      <c r="A3" s="3"/>
      <c r="B3" s="3"/>
      <c r="C3" s="3"/>
      <c r="D3" s="3"/>
      <c r="E3" s="3"/>
      <c r="F3" s="3"/>
    </row>
    <row r="5" customFormat="false" ht="15" hidden="false" customHeight="false" outlineLevel="0" collapsed="false">
      <c r="A5" s="7" t="s">
        <v>258</v>
      </c>
    </row>
    <row r="7" customFormat="false" ht="31.5" hidden="false" customHeight="true" outlineLevel="0" collapsed="false">
      <c r="A7" s="23" t="s">
        <v>259</v>
      </c>
      <c r="B7" s="24" t="s">
        <v>260</v>
      </c>
      <c r="C7" s="24" t="s">
        <v>261</v>
      </c>
      <c r="D7" s="24" t="s">
        <v>262</v>
      </c>
      <c r="E7" s="24" t="s">
        <v>263</v>
      </c>
      <c r="F7" s="24" t="s">
        <v>264</v>
      </c>
    </row>
    <row r="8" customFormat="false" ht="15" hidden="false" customHeight="false" outlineLevel="0" collapsed="false">
      <c r="A8" s="9" t="s">
        <v>265</v>
      </c>
      <c r="B8" s="9" t="s">
        <v>161</v>
      </c>
      <c r="C8" s="22" t="n">
        <v>2980800</v>
      </c>
      <c r="D8" s="22" t="n">
        <f aca="false">UNINSURED</f>
        <v>2980800</v>
      </c>
      <c r="E8" s="27" t="n">
        <f aca="false">D8-C8</f>
        <v>0</v>
      </c>
      <c r="F8" s="28" t="str">
        <f aca="false">IF(ABS(E8)&lt;=0.01,"PASS","FAIL")</f>
        <v>PASS</v>
      </c>
    </row>
    <row r="9" customFormat="false" ht="15" hidden="false" customHeight="false" outlineLevel="0" collapsed="false">
      <c r="A9" s="25" t="s">
        <v>265</v>
      </c>
      <c r="B9" s="25" t="s">
        <v>266</v>
      </c>
      <c r="C9" s="29" t="n">
        <v>3.68</v>
      </c>
      <c r="D9" s="29" t="n">
        <f aca="false">UNINS_PER_CAPITAL</f>
        <v>3.68</v>
      </c>
      <c r="E9" s="30" t="n">
        <f aca="false">D9-C9</f>
        <v>0</v>
      </c>
      <c r="F9" s="31" t="str">
        <f aca="false">IF(ABS(E9)&lt;=0.005,"PASS","FAIL")</f>
        <v>PASS</v>
      </c>
    </row>
    <row r="10" customFormat="false" ht="15" hidden="false" customHeight="false" outlineLevel="0" collapsed="false">
      <c r="A10" s="9" t="s">
        <v>267</v>
      </c>
      <c r="B10" s="9" t="s">
        <v>268</v>
      </c>
      <c r="C10" s="22" t="n">
        <v>1375388.77</v>
      </c>
      <c r="D10" s="22" t="n">
        <f aca="false">LIQ_NOW</f>
        <v>1375388.77</v>
      </c>
      <c r="E10" s="27" t="n">
        <f aca="false">D10-C10</f>
        <v>0</v>
      </c>
      <c r="F10" s="28" t="str">
        <f aca="false">IF(ABS(E10)&lt;=0.01,"PASS","FAIL")</f>
        <v>PASS</v>
      </c>
    </row>
    <row r="11" customFormat="false" ht="15" hidden="false" customHeight="false" outlineLevel="0" collapsed="false">
      <c r="A11" s="25" t="s">
        <v>267</v>
      </c>
      <c r="B11" s="25" t="s">
        <v>269</v>
      </c>
      <c r="C11" s="32" t="n">
        <v>2900843.64875</v>
      </c>
      <c r="D11" s="32" t="n">
        <f aca="false">LIQ_TOTAL</f>
        <v>2900843.64875</v>
      </c>
      <c r="E11" s="30" t="n">
        <f aca="false">D11-C11</f>
        <v>0</v>
      </c>
      <c r="F11" s="31" t="str">
        <f aca="false">IF(ABS(E11)&lt;=0.01,"PASS","FAIL")</f>
        <v>PASS</v>
      </c>
    </row>
    <row r="12" customFormat="false" ht="15" hidden="false" customHeight="false" outlineLevel="0" collapsed="false">
      <c r="A12" s="9" t="s">
        <v>267</v>
      </c>
      <c r="B12" s="9" t="s">
        <v>168</v>
      </c>
      <c r="C12" s="33" t="n">
        <v>0.97317621</v>
      </c>
      <c r="D12" s="33" t="n">
        <f aca="false">COVER</f>
        <v>0.973176210664922</v>
      </c>
      <c r="E12" s="27" t="n">
        <f aca="false">D12-C12</f>
        <v>6.64922117366018E-010</v>
      </c>
      <c r="F12" s="28" t="str">
        <f aca="false">IF(ABS(E12)&lt;=0.00000005,"PASS","FAIL")</f>
        <v>PASS</v>
      </c>
    </row>
    <row r="13" customFormat="false" ht="15" hidden="false" customHeight="false" outlineLevel="0" collapsed="false">
      <c r="A13" s="25" t="s">
        <v>267</v>
      </c>
      <c r="B13" s="25" t="s">
        <v>270</v>
      </c>
      <c r="C13" s="34" t="n">
        <v>0.90906669</v>
      </c>
      <c r="D13" s="34" t="n">
        <f aca="false">COVER_CONSTRAINED</f>
        <v>0.909066686925627</v>
      </c>
      <c r="E13" s="30" t="n">
        <f aca="false">D13-C13</f>
        <v>-3.07437253432852E-009</v>
      </c>
      <c r="F13" s="31" t="str">
        <f aca="false">IF(ABS(E13)&lt;=0.00000005,"PASS","FAIL")</f>
        <v>PASS</v>
      </c>
    </row>
    <row r="14" customFormat="false" ht="15" hidden="false" customHeight="false" outlineLevel="0" collapsed="false">
      <c r="A14" s="9" t="s">
        <v>267</v>
      </c>
      <c r="B14" s="9" t="s">
        <v>271</v>
      </c>
      <c r="C14" s="35" t="n">
        <v>48.65881053</v>
      </c>
      <c r="D14" s="35" t="n">
        <f aca="false">DAYS_SLOW</f>
        <v>48.6588105332461</v>
      </c>
      <c r="E14" s="27" t="n">
        <f aca="false">D14-C14</f>
        <v>3.24610738289266E-009</v>
      </c>
      <c r="F14" s="28" t="str">
        <f aca="false">IF(ABS(E14)&lt;=0.000001,"PASS","FAIL")</f>
        <v>PASS</v>
      </c>
    </row>
    <row r="15" customFormat="false" ht="15" hidden="false" customHeight="false" outlineLevel="0" collapsed="false">
      <c r="A15" s="25" t="s">
        <v>267</v>
      </c>
      <c r="B15" s="25" t="s">
        <v>272</v>
      </c>
      <c r="C15" s="29" t="n">
        <v>3.89270484</v>
      </c>
      <c r="D15" s="29" t="n">
        <f aca="false">DAYS_FAST</f>
        <v>3.89270484265969</v>
      </c>
      <c r="E15" s="30" t="n">
        <f aca="false">D15-C15</f>
        <v>2.65968846946407E-009</v>
      </c>
      <c r="F15" s="31" t="str">
        <f aca="false">IF(ABS(E15)&lt;=0.000001,"PASS","FAIL")</f>
        <v>PASS</v>
      </c>
    </row>
    <row r="16" customFormat="false" ht="15" hidden="false" customHeight="false" outlineLevel="0" collapsed="false">
      <c r="A16" s="9" t="s">
        <v>267</v>
      </c>
      <c r="B16" s="9" t="s">
        <v>170</v>
      </c>
      <c r="C16" s="33" t="n">
        <v>0.83603169</v>
      </c>
      <c r="D16" s="33" t="n">
        <f aca="false">HTM_SELLABLE</f>
        <v>0.836031688702483</v>
      </c>
      <c r="E16" s="27" t="n">
        <f aca="false">D16-C16</f>
        <v>-1.2975168717233E-009</v>
      </c>
      <c r="F16" s="28" t="str">
        <f aca="false">IF(ABS(E16)&lt;=0.00000005,"PASS","FAIL")</f>
        <v>PASS</v>
      </c>
    </row>
    <row r="17" customFormat="false" ht="15" hidden="false" customHeight="false" outlineLevel="0" collapsed="false">
      <c r="A17" s="25" t="s">
        <v>267</v>
      </c>
      <c r="B17" s="25" t="s">
        <v>171</v>
      </c>
      <c r="C17" s="34" t="n">
        <v>0.05538768</v>
      </c>
      <c r="D17" s="34" t="n">
        <f aca="false">RATIO_SOLD</f>
        <v>0.0553876838235294</v>
      </c>
      <c r="E17" s="30" t="n">
        <f aca="false">D17-C17</f>
        <v>3.82352940281328E-009</v>
      </c>
      <c r="F17" s="31" t="str">
        <f aca="false">IF(ABS(E17)&lt;=0.00000005,"PASS","FAIL")</f>
        <v>PASS</v>
      </c>
    </row>
    <row r="18" customFormat="false" ht="15" hidden="false" customHeight="false" outlineLevel="0" collapsed="false">
      <c r="A18" s="9" t="s">
        <v>273</v>
      </c>
      <c r="B18" s="9" t="s">
        <v>178</v>
      </c>
      <c r="C18" s="33" t="n">
        <v>0.28021429</v>
      </c>
      <c r="D18" s="33" t="n">
        <f aca="false">RUN_THRESHOLD</f>
        <v>0.280214285714286</v>
      </c>
      <c r="E18" s="27" t="n">
        <f aca="false">D18-C18</f>
        <v>-4.28571422794732E-009</v>
      </c>
      <c r="F18" s="28" t="str">
        <f aca="false">IF(ABS(E18)&lt;=0.00000005,"PASS","FAIL")</f>
        <v>PASS</v>
      </c>
    </row>
    <row r="19" customFormat="false" ht="15" hidden="false" customHeight="false" outlineLevel="0" collapsed="false">
      <c r="A19" s="9" t="s">
        <v>267</v>
      </c>
      <c r="B19" s="9" t="s">
        <v>163</v>
      </c>
      <c r="C19" s="22" t="n">
        <v>1201499.875</v>
      </c>
      <c r="D19" s="22" t="n">
        <f aca="false">HTM_MKT</f>
        <v>1201499.875</v>
      </c>
      <c r="E19" s="27" t="n">
        <f aca="false">D19-C19</f>
        <v>0</v>
      </c>
      <c r="F19" s="28" t="str">
        <f aca="false">IF(ABS(E19)&lt;=0.01,"PASS","FAIL")</f>
        <v>PASS</v>
      </c>
    </row>
    <row r="20" customFormat="false" ht="15" hidden="false" customHeight="false" outlineLevel="0" collapsed="false">
      <c r="A20" s="9" t="s">
        <v>267</v>
      </c>
      <c r="B20" s="9" t="s">
        <v>165</v>
      </c>
      <c r="C20" s="22" t="n">
        <v>360000</v>
      </c>
      <c r="D20" s="22" t="n">
        <f aca="false">FHLB_FREE</f>
        <v>360000</v>
      </c>
      <c r="E20" s="27" t="n">
        <f aca="false">D20-C20</f>
        <v>0</v>
      </c>
      <c r="F20" s="28" t="str">
        <f aca="false">IF(ABS(E20)&lt;=0.01,"PASS","FAIL")</f>
        <v>PASS</v>
      </c>
    </row>
    <row r="21" customFormat="false" ht="15" hidden="false" customHeight="false" outlineLevel="0" collapsed="false">
      <c r="A21" s="9" t="s">
        <v>267</v>
      </c>
      <c r="B21" s="9" t="s">
        <v>172</v>
      </c>
      <c r="C21" s="22" t="n">
        <v>2709745.98038791</v>
      </c>
      <c r="D21" s="22" t="n">
        <f aca="false">LIQ_CONSTRAINED</f>
        <v>2709745.98038791</v>
      </c>
      <c r="E21" s="27" t="n">
        <f aca="false">D21-C21</f>
        <v>0</v>
      </c>
      <c r="F21" s="28" t="str">
        <f aca="false">IF(ABS(E21)&lt;=0.01,"PASS","FAIL")</f>
        <v>PASS</v>
      </c>
    </row>
    <row r="22" customFormat="false" ht="15" hidden="false" customHeight="false" outlineLevel="0" collapsed="false">
      <c r="A22" s="9" t="s">
        <v>267</v>
      </c>
      <c r="B22" s="9" t="s">
        <v>274</v>
      </c>
      <c r="C22" s="27" t="n">
        <v>3.63626675</v>
      </c>
      <c r="D22" s="27" t="n">
        <f aca="false">Days!C13</f>
        <v>3.63626674770251</v>
      </c>
      <c r="E22" s="27" t="n">
        <f aca="false">D22-C22</f>
        <v>-2.29749019808878E-009</v>
      </c>
      <c r="F22" s="28" t="str">
        <f aca="false">IF(ABS(E22)&lt;=0.00000005,"PASS","FAIL")</f>
        <v>PASS</v>
      </c>
    </row>
    <row r="23" customFormat="false" ht="15" hidden="false" customHeight="false" outlineLevel="0" collapsed="false">
      <c r="A23" s="9" t="s">
        <v>267</v>
      </c>
      <c r="B23" s="9" t="s">
        <v>275</v>
      </c>
      <c r="C23" s="27" t="n">
        <v>0.065</v>
      </c>
      <c r="D23" s="27" t="n">
        <f aca="false">Liquidity!B34</f>
        <v>0.065</v>
      </c>
      <c r="E23" s="27" t="n">
        <f aca="false">D23-C23</f>
        <v>0</v>
      </c>
      <c r="F23" s="28" t="str">
        <f aca="false">IF(ABS(E23)&lt;=0.00000005,"PASS","FAIL")</f>
        <v>PASS</v>
      </c>
    </row>
    <row r="24" customFormat="false" ht="15" hidden="false" customHeight="false" outlineLevel="0" collapsed="false">
      <c r="A24" s="9" t="s">
        <v>273</v>
      </c>
      <c r="B24" s="9" t="s">
        <v>276</v>
      </c>
      <c r="C24" s="22" t="n">
        <v>156889.78125</v>
      </c>
      <c r="D24" s="22" t="n">
        <f aca="false">Liquidity!B35</f>
        <v>156889.78125</v>
      </c>
      <c r="E24" s="27" t="n">
        <f aca="false">D24-C24</f>
        <v>0</v>
      </c>
      <c r="F24" s="28" t="str">
        <f aca="false">IF(ABS(E24)&lt;=0.01,"PASS","FAIL")</f>
        <v>PASS</v>
      </c>
    </row>
    <row r="25" customFormat="false" ht="15" hidden="false" customHeight="false" outlineLevel="0" collapsed="false">
      <c r="A25" s="9" t="s">
        <v>265</v>
      </c>
      <c r="B25" s="9" t="s">
        <v>179</v>
      </c>
      <c r="C25" s="22" t="n">
        <v>810000</v>
      </c>
      <c r="D25" s="22" t="n">
        <f aca="false">CAP_STACK</f>
        <v>810000</v>
      </c>
      <c r="E25" s="27" t="n">
        <f aca="false">D25-C25</f>
        <v>0</v>
      </c>
      <c r="F25" s="28" t="str">
        <f aca="false">IF(ABS(E25)&lt;=0.01,"PASS","FAIL")</f>
        <v>PASS</v>
      </c>
    </row>
    <row r="27" customFormat="false" ht="15" hidden="false" customHeight="false" outlineLevel="0" collapsed="false">
      <c r="B27" s="14" t="s">
        <v>277</v>
      </c>
      <c r="C27" s="36" t="n">
        <f aca="false">COUNTIF(F8:F25,"PASS")</f>
        <v>18</v>
      </c>
    </row>
    <row r="28" customFormat="false" ht="15" hidden="false" customHeight="false" outlineLevel="0" collapsed="false">
      <c r="B28" s="14" t="s">
        <v>278</v>
      </c>
      <c r="C28" s="36" t="n">
        <f aca="false">COUNTIF(F8:F25,"FAIL")</f>
        <v>0</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docProps/app.xml><?xml version="1.0" encoding="utf-8"?>
<Properties xmlns="http://schemas.openxmlformats.org/officeDocument/2006/extended-properties" xmlns:vt="http://schemas.openxmlformats.org/officeDocument/2006/docPropsVTypes">
  <Template/>
  <TotalTime>0</TotalTime>
  <Application>LibreOffice/24.2.7.2$Linux_X86_64 LibreOffice_project/420$Build-2</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2026-08-30T20:04:50Z</dcterms:created>
  <dc:creator>openpyxl</dc:creator>
  <dc:description/>
  <dc:language>en-US</dc:language>
  <cp:lastModifiedBy/>
  <dcterms:modified xsi:type="dcterms:W3CDTF">2026-09-24T19:45:15Z</dcterms:modified>
  <cp:revision>0</cp:revision>
  <dc:subject/>
  <dc:title/>
</cp:coreProperties>
</file>

<file path=docProps/custom.xml><?xml version="1.0" encoding="utf-8"?>
<Properties xmlns="http://schemas.openxmlformats.org/officeDocument/2006/custom-properties" xmlns:vt="http://schemas.openxmlformats.org/officeDocument/2006/docPropsVTypes"/>
</file>