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Launch Budget" sheetId="3" state="visible" r:id="rId3"/>
    <sheet xmlns:r="http://schemas.openxmlformats.org/officeDocument/2006/relationships" name="Fees" sheetId="4" state="visible" r:id="rId4"/>
    <sheet xmlns:r="http://schemas.openxmlformats.org/officeDocument/2006/relationships" name="Manco P&amp;L" sheetId="5" state="visible" r:id="rId5"/>
    <sheet xmlns:r="http://schemas.openxmlformats.org/officeDocument/2006/relationships" name="Equalization" sheetId="6" state="visible" r:id="rId6"/>
    <sheet xmlns:r="http://schemas.openxmlformats.org/officeDocument/2006/relationships" name="Waterfall Summary" sheetId="7" state="visible" r:id="rId7"/>
    <sheet xmlns:r="http://schemas.openxmlformats.org/officeDocument/2006/relationships" name="Chec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 mmm yyyy"/>
    <numFmt numFmtId="166" formatCode="#,##0.00;[Red]-#,##0.00"/>
    <numFmt numFmtId="167" formatCode="0.00&quot;x&quot;"/>
    <numFmt numFmtId="168" formatCode="#,##0.000;[Red]-#,##0.000"/>
    <numFmt numFmtId="169" formatCode="0.0000%"/>
    <numFmt numFmtId="170" formatCode="#,##0.0000"/>
    <numFmt numFmtId="171" formatCode="0.0000"/>
    <numFmt numFmtId="172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color rgb="00FFFFFF"/>
      <sz val="10"/>
    </font>
    <font>
      <name val="Arial"/>
      <color rgb="001F4FB4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1E3A34"/>
      </patternFill>
    </fill>
    <fill>
      <patternFill patternType="solid">
        <fgColor rgb="003C6E63"/>
      </patternFill>
    </fill>
    <fill>
      <patternFill patternType="solid">
        <fgColor rgb="00EEF3FB"/>
      </patternFill>
    </fill>
    <fill>
      <patternFill patternType="solid">
        <fgColor rgb="00EFE8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165" fontId="4" fillId="4" borderId="0" pivotButton="0" quotePrefix="0" xfId="0"/>
    <xf numFmtId="166" fontId="4" fillId="4" borderId="0" pivotButton="0" quotePrefix="0" xfId="0"/>
    <xf numFmtId="0" fontId="5" fillId="5" borderId="0" pivotButton="0" quotePrefix="0" xfId="0"/>
    <xf numFmtId="166" fontId="5" fillId="5" borderId="0" pivotButton="0" quotePrefix="0" xfId="0"/>
    <xf numFmtId="10" fontId="4" fillId="4" borderId="0" pivotButton="0" quotePrefix="0" xfId="0"/>
    <xf numFmtId="167" fontId="4" fillId="4" borderId="0" pivotButton="0" quotePrefix="0" xfId="0"/>
    <xf numFmtId="1" fontId="4" fillId="4" borderId="0" pivotButton="0" quotePrefix="0" xfId="0"/>
    <xf numFmtId="1" fontId="2" fillId="0" borderId="0" pivotButton="0" quotePrefix="0" xfId="0"/>
    <xf numFmtId="166" fontId="2" fillId="0" borderId="0" pivotButton="0" quotePrefix="0" xfId="0"/>
    <xf numFmtId="10" fontId="2" fillId="0" borderId="0" pivotButton="0" quotePrefix="0" xfId="0"/>
    <xf numFmtId="168" fontId="2" fillId="0" borderId="0" pivotButton="0" quotePrefix="0" xfId="0"/>
    <xf numFmtId="168" fontId="5" fillId="5" borderId="0" pivotButton="0" quotePrefix="0" xfId="0"/>
    <xf numFmtId="169" fontId="2" fillId="0" borderId="0" pivotButton="0" quotePrefix="0" xfId="0"/>
    <xf numFmtId="0" fontId="5" fillId="0" borderId="0" pivotButton="0" quotePrefix="0" xfId="0"/>
    <xf numFmtId="166" fontId="5" fillId="0" borderId="0" pivotButton="0" quotePrefix="0" xfId="0"/>
    <xf numFmtId="165" fontId="2" fillId="0" borderId="0" pivotButton="0" quotePrefix="0" xfId="0"/>
    <xf numFmtId="170" fontId="2" fillId="0" borderId="0" pivotButton="0" quotePrefix="0" xfId="0"/>
    <xf numFmtId="170" fontId="5" fillId="5" borderId="0" pivotButton="0" quotePrefix="0" xfId="0"/>
    <xf numFmtId="171" fontId="2" fillId="0" borderId="0" pivotButton="0" quotePrefix="0" xfId="0"/>
    <xf numFmtId="167" fontId="2" fillId="0" borderId="0" pivotButton="0" quotePrefix="0" xfId="0"/>
    <xf numFmtId="17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10" customHeight="1"/>
    <row r="2">
      <c r="B2" s="1" t="inlineStr">
        <is>
          <t>The Fund Formation Handbook: companion workbook</t>
        </is>
      </c>
    </row>
    <row r="4">
      <c r="B4" s="2" t="inlineStr">
        <is>
          <t>This workbook rebuilds the Harrow Peak case of The Fund Formation Handbook (Julian R. Sterling, 2026) with live formulas.</t>
        </is>
      </c>
    </row>
    <row r="5">
      <c r="B5" s="2" t="inlineStr">
        <is>
          <t>Blue cells on a light blue background are inputs. Everything else is a formula. Amounts in US$ million unless stated.</t>
        </is>
      </c>
    </row>
    <row r="6">
      <c r="B6" s="2" t="inlineStr">
        <is>
          <t>Inputs: closes, vehicles, terms, launch budget lines, management company costs, Fund II switch.</t>
        </is>
      </c>
    </row>
    <row r="7">
      <c r="B7" s="2" t="inlineStr">
        <is>
          <t>Launch Budget (Chapter 8): organizational and offering expenses, the cap and the excess borne by the manager.</t>
        </is>
      </c>
    </row>
    <row r="8">
      <c r="B8" s="2" t="inlineStr">
        <is>
          <t>Fees (Chapter 5 and 15): annual fee in the investment period; fee received by the manager by year, catch-ups counted when paid.</t>
        </is>
      </c>
    </row>
    <row r="9">
      <c r="B9" s="2" t="inlineStr">
        <is>
          <t>Manco P&amp;L (Chapter 15): ten years of the management company, Fund I only or with Fund II (switch on Inputs).</t>
        </is>
      </c>
    </row>
    <row r="10">
      <c r="B10" s="2" t="inlineStr">
        <is>
          <t>Equalization (Chapter 14): what a second-close investor pays, interest by call, fee catch-up, vehicle rebalancing.</t>
        </is>
      </c>
    </row>
    <row r="11">
      <c r="B11" s="2" t="inlineStr">
        <is>
          <t>Waterfall Summary (Chapter 6): an annual European waterfall on the case's illustrative 2.4x gross assumption; total carry.</t>
        </is>
      </c>
    </row>
    <row r="12">
      <c r="B12" s="2" t="inlineStr">
        <is>
          <t>Checks: the figures printed in the book beside the formulas that produce them. ALL CHECKS OK on the default inputs.</t>
        </is>
      </c>
    </row>
    <row r="13">
      <c r="B13" s="2" t="inlineStr">
        <is>
          <t>Everything in the case is fictional and illustrative. Nothing here is legal, tax or investment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8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6" customWidth="1" min="3" max="3"/>
    <col width="16" customWidth="1" min="4" max="4"/>
    <col width="16" customWidth="1" min="5" max="5"/>
    <col width="16" customWidth="1" min="6" max="6"/>
    <col width="40" customWidth="1" min="7" max="7"/>
  </cols>
  <sheetData>
    <row r="1" ht="10" customHeight="1"/>
    <row r="2">
      <c r="B2" s="1" t="inlineStr">
        <is>
          <t>Inputs (blue cells)</t>
        </is>
      </c>
      <c r="C2" s="3" t="n"/>
      <c r="D2" s="3" t="n"/>
      <c r="E2" s="3" t="n"/>
      <c r="F2" s="3" t="n"/>
      <c r="G2" s="3" t="n"/>
    </row>
    <row r="4">
      <c r="B4" s="4" t="inlineStr">
        <is>
          <t>Close</t>
        </is>
      </c>
      <c r="C4" s="4" t="inlineStr">
        <is>
          <t>Date</t>
        </is>
      </c>
      <c r="D4" s="4" t="inlineStr">
        <is>
          <t>Delaware fund</t>
        </is>
      </c>
      <c r="E4" s="4" t="inlineStr">
        <is>
          <t>Cayman feeder</t>
        </is>
      </c>
      <c r="F4" s="4" t="inlineStr">
        <is>
          <t>Luxembourg SCSp</t>
        </is>
      </c>
      <c r="G4" s="4" t="inlineStr">
        <is>
          <t>Note</t>
        </is>
      </c>
    </row>
    <row r="5">
      <c r="B5" s="2" t="inlineStr">
        <is>
          <t>First close</t>
        </is>
      </c>
      <c r="C5" s="5" t="n">
        <v>45930</v>
      </c>
      <c r="D5" s="6" t="n">
        <v>180</v>
      </c>
      <c r="E5" s="6" t="n">
        <v>40</v>
      </c>
      <c r="F5" s="6" t="n">
        <v>40</v>
      </c>
    </row>
    <row r="6">
      <c r="B6" s="2" t="inlineStr">
        <is>
          <t>Second close</t>
        </is>
      </c>
      <c r="C6" s="5" t="n">
        <v>46112</v>
      </c>
      <c r="D6" s="6" t="n">
        <v>60</v>
      </c>
      <c r="E6" s="6" t="n">
        <v>15</v>
      </c>
      <c r="F6" s="6" t="n">
        <v>25</v>
      </c>
    </row>
    <row r="7">
      <c r="B7" s="2" t="inlineStr">
        <is>
          <t>Final close</t>
        </is>
      </c>
      <c r="C7" s="5" t="n">
        <v>46295</v>
      </c>
      <c r="D7" s="6" t="n">
        <v>40</v>
      </c>
      <c r="E7" s="6" t="n">
        <v>0</v>
      </c>
      <c r="F7" s="6" t="n">
        <v>20</v>
      </c>
    </row>
    <row r="8">
      <c r="B8" s="7" t="inlineStr">
        <is>
          <t>Total commitments</t>
        </is>
      </c>
      <c r="D8" s="8">
        <f>SUM(D5:D7)</f>
        <v/>
      </c>
      <c r="E8" s="8">
        <f>SUM(E5:E7)</f>
        <v/>
      </c>
      <c r="F8" s="8">
        <f>SUM(F5:F7)</f>
        <v/>
      </c>
      <c r="G8" s="8">
        <f>SUM(D8:F8)</f>
        <v/>
      </c>
    </row>
    <row r="10">
      <c r="B10" s="4" t="inlineStr">
        <is>
          <t>Term</t>
        </is>
      </c>
      <c r="C10" s="4" t="inlineStr">
        <is>
          <t>Value</t>
        </is>
      </c>
      <c r="D10" s="4" t="inlineStr"/>
      <c r="E10" s="4" t="inlineStr"/>
      <c r="F10" s="4" t="inlineStr"/>
      <c r="G10" s="4" t="inlineStr">
        <is>
          <t>Note</t>
        </is>
      </c>
    </row>
    <row r="11">
      <c r="B11" s="2" t="inlineStr">
        <is>
          <t>GP commitment ($m, Delaware, first close, no fee, no carry)</t>
        </is>
      </c>
      <c r="C11" s="6" t="n">
        <v>8.4</v>
      </c>
    </row>
    <row r="12">
      <c r="B12" s="2" t="inlineStr">
        <is>
          <t>Anchor commitment ($m, Delaware, first close)</t>
        </is>
      </c>
      <c r="C12" s="6" t="n">
        <v>75</v>
      </c>
    </row>
    <row r="13">
      <c r="B13" s="2" t="inlineStr">
        <is>
          <t>Standard fee, investment period</t>
        </is>
      </c>
      <c r="C13" s="9" t="n">
        <v>0.02</v>
      </c>
    </row>
    <row r="14">
      <c r="B14" s="2" t="inlineStr">
        <is>
          <t>Anchor fee, investment period</t>
        </is>
      </c>
      <c r="C14" s="9" t="n">
        <v>0.0175</v>
      </c>
    </row>
    <row r="15">
      <c r="B15" s="2" t="inlineStr">
        <is>
          <t>Standard fee after the investment period (on net invested capital)</t>
        </is>
      </c>
      <c r="C15" s="9" t="n">
        <v>0.015</v>
      </c>
    </row>
    <row r="16">
      <c r="B16" s="2" t="inlineStr">
        <is>
          <t>Anchor fee after the investment period</t>
        </is>
      </c>
      <c r="C16" s="9" t="n">
        <v>0.0125</v>
      </c>
    </row>
    <row r="17">
      <c r="B17" s="2" t="inlineStr">
        <is>
          <t>End of investment period</t>
        </is>
      </c>
      <c r="C17" s="5" t="n">
        <v>47756</v>
      </c>
    </row>
    <row r="18">
      <c r="B18" s="2" t="inlineStr">
        <is>
          <t>Equalization interest (simple, actual/365)</t>
        </is>
      </c>
      <c r="C18" s="9" t="n">
        <v>0.08</v>
      </c>
    </row>
    <row r="19">
      <c r="B19" s="2" t="inlineStr">
        <is>
          <t>Organizational expense cap ($m)</t>
        </is>
      </c>
      <c r="C19" s="6" t="n">
        <v>1.75</v>
      </c>
    </row>
    <row r="20">
      <c r="B20" s="2" t="inlineStr">
        <is>
          <t>Preferred return (compounded annually)</t>
        </is>
      </c>
      <c r="C20" s="9" t="n">
        <v>0.08</v>
      </c>
    </row>
    <row r="21">
      <c r="B21" s="2" t="inlineStr">
        <is>
          <t>Carried interest</t>
        </is>
      </c>
      <c r="C21" s="9" t="n">
        <v>0.2</v>
      </c>
    </row>
    <row r="22">
      <c r="B22" s="2" t="inlineStr">
        <is>
          <t>Gross multiple on realizations (illustrative)</t>
        </is>
      </c>
      <c r="C22" s="10" t="n">
        <v>2.4</v>
      </c>
    </row>
    <row r="23">
      <c r="B23" s="2" t="inlineStr">
        <is>
          <t>Fund operating expenses a year from 2026 ($m, 2026 dollars)</t>
        </is>
      </c>
      <c r="C23" s="6" t="n">
        <v>1.03</v>
      </c>
    </row>
    <row r="24">
      <c r="B24" s="2" t="inlineStr">
        <is>
          <t>Fund operating expenses 2025 ($m)</t>
        </is>
      </c>
      <c r="C24" s="6" t="n">
        <v>0.26</v>
      </c>
    </row>
    <row r="25">
      <c r="B25" s="2" t="inlineStr">
        <is>
          <t>Cost inflation</t>
        </is>
      </c>
      <c r="C25" s="9" t="n">
        <v>0.03</v>
      </c>
    </row>
    <row r="26">
      <c r="B26" s="2" t="inlineStr">
        <is>
          <t>Benefits on staff cost</t>
        </is>
      </c>
      <c r="C26" s="9" t="n">
        <v>0.18</v>
      </c>
    </row>
    <row r="27">
      <c r="B27" s="2" t="inlineStr">
        <is>
          <t>Staff cost cut from 2031 if no Fund II</t>
        </is>
      </c>
      <c r="C27" s="9" t="n">
        <v>0.2</v>
      </c>
    </row>
    <row r="28">
      <c r="B28" s="2" t="inlineStr">
        <is>
          <t>Rent 2025 sublease ($m)</t>
        </is>
      </c>
      <c r="C28" s="6" t="n">
        <v>0.18</v>
      </c>
    </row>
    <row r="29">
      <c r="B29" s="2" t="inlineStr">
        <is>
          <t>Fund II switch (1 = with Fund II, 0 = Fund I only)</t>
        </is>
      </c>
      <c r="C29" s="11" t="n">
        <v>0</v>
      </c>
    </row>
    <row r="30">
      <c r="B30" s="2" t="inlineStr">
        <is>
          <t>Fund II size ($m)</t>
        </is>
      </c>
      <c r="C30" s="6" t="n">
        <v>600</v>
      </c>
    </row>
    <row r="31">
      <c r="B31" s="2" t="inlineStr">
        <is>
          <t>Fund II fee rate</t>
        </is>
      </c>
      <c r="C31" s="9" t="n">
        <v>0.02</v>
      </c>
    </row>
    <row r="32">
      <c r="B32" s="2" t="inlineStr">
        <is>
          <t>Fund II first close</t>
        </is>
      </c>
      <c r="C32" s="5" t="n">
        <v>47391</v>
      </c>
    </row>
    <row r="33">
      <c r="B33" s="2" t="inlineStr">
        <is>
          <t>Fund II extra cost a year from 2029 ($m, 2025 dollars)</t>
        </is>
      </c>
      <c r="C33" s="6" t="n">
        <v>1.6</v>
      </c>
    </row>
    <row r="35">
      <c r="B35" s="4" t="inlineStr">
        <is>
          <t>Organizational and offering expenses (fund-borne, subject to the cap)</t>
        </is>
      </c>
      <c r="C35" s="4" t="inlineStr">
        <is>
          <t>$ million</t>
        </is>
      </c>
    </row>
    <row r="36">
      <c r="B36" s="2" t="inlineStr">
        <is>
          <t>Fund counsel (US): LPA, PPM, subscription documents, side letters to final close</t>
        </is>
      </c>
      <c r="C36" s="6" t="n">
        <v>1.05</v>
      </c>
    </row>
    <row r="37">
      <c r="B37" s="2" t="inlineStr">
        <is>
          <t>Cayman counsel and CIMA registration of the offshore feeder</t>
        </is>
      </c>
      <c r="C37" s="6" t="n">
        <v>0.11</v>
      </c>
    </row>
    <row r="38">
      <c r="B38" s="2" t="inlineStr">
        <is>
          <t>Luxembourg counsel: SCSp-RAIF documents, AIFM and depositary agreements</t>
        </is>
      </c>
      <c r="C38" s="6" t="n">
        <v>0.29</v>
      </c>
    </row>
    <row r="39">
      <c r="B39" s="2" t="inlineStr">
        <is>
          <t>Third-party AIFM onboarding and depositary set-up</t>
        </is>
      </c>
      <c r="C39" s="6" t="n">
        <v>0.09</v>
      </c>
    </row>
    <row r="40">
      <c r="B40" s="2" t="inlineStr">
        <is>
          <t>Tax structuring advice: blockers, AIVs, ECI and UBTI analysis</t>
        </is>
      </c>
      <c r="C40" s="6" t="n">
        <v>0.17</v>
      </c>
    </row>
    <row r="41">
      <c r="B41" s="2" t="inlineStr">
        <is>
          <t>Regulatory filings: Form D, state notices, CIMA, RAIF list, marketing notifications</t>
        </is>
      </c>
      <c r="C41" s="6" t="n">
        <v>0.04</v>
      </c>
    </row>
    <row r="42">
      <c r="B42" s="2" t="inlineStr">
        <is>
          <t>Roadshow travel and investor meetings</t>
        </is>
      </c>
      <c r="C42" s="6" t="n">
        <v>0.21</v>
      </c>
    </row>
    <row r="43">
      <c r="B43" s="2" t="inlineStr">
        <is>
          <t>Virtual data room, PPM design and production</t>
        </is>
      </c>
      <c r="C43" s="6" t="n">
        <v>0.05</v>
      </c>
    </row>
    <row r="44">
      <c r="B44" s="2" t="inlineStr">
        <is>
          <t>Fund administrator and bank onboarding (KYC, accounts)</t>
        </is>
      </c>
      <c r="C44" s="6" t="n">
        <v>0.05</v>
      </c>
    </row>
    <row r="46">
      <c r="B46" s="4" t="inlineStr">
        <is>
          <t>Launch costs borne by the management company</t>
        </is>
      </c>
      <c r="C46" s="4" t="inlineStr">
        <is>
          <t>$ million</t>
        </is>
      </c>
    </row>
    <row r="47">
      <c r="B47" s="2" t="inlineStr">
        <is>
          <t>Management company and GP entity formation (Delaware)</t>
        </is>
      </c>
      <c r="C47" s="6" t="n">
        <v>0.03</v>
      </c>
    </row>
    <row r="48">
      <c r="B48" s="2" t="inlineStr">
        <is>
          <t>Adviser compliance build: Form ADV, compliance manual, policies</t>
        </is>
      </c>
      <c r="C48" s="6" t="n">
        <v>0.09</v>
      </c>
    </row>
    <row r="49">
      <c r="B49" s="2" t="inlineStr">
        <is>
          <t>Outsourced chief compliance officer, first year</t>
        </is>
      </c>
      <c r="C49" s="6" t="n">
        <v>0.12</v>
      </c>
    </row>
    <row r="51">
      <c r="B51" s="4" t="inlineStr">
        <is>
          <t>Staff (annual cost, 2025 dollars)</t>
        </is>
      </c>
      <c r="C51" s="4" t="inlineStr">
        <is>
          <t>$ million</t>
        </is>
      </c>
      <c r="D51" s="4" t="inlineStr">
        <is>
          <t>Start date</t>
        </is>
      </c>
    </row>
    <row r="52">
      <c r="B52" s="2" t="inlineStr">
        <is>
          <t>Founding partner, investments (salary)</t>
        </is>
      </c>
      <c r="C52" s="6" t="n">
        <v>0.35</v>
      </c>
      <c r="D52" s="5" t="n">
        <v>45689</v>
      </c>
    </row>
    <row r="53">
      <c r="B53" s="2" t="inlineStr">
        <is>
          <t>Founding partner, investments (salary)</t>
        </is>
      </c>
      <c r="C53" s="6" t="n">
        <v>0.35</v>
      </c>
      <c r="D53" s="5" t="n">
        <v>45689</v>
      </c>
    </row>
    <row r="54">
      <c r="B54" s="2" t="inlineStr">
        <is>
          <t>Founding partner, CFO and COO (salary)</t>
        </is>
      </c>
      <c r="C54" s="6" t="n">
        <v>0.35</v>
      </c>
      <c r="D54" s="5" t="n">
        <v>45689</v>
      </c>
    </row>
    <row r="55">
      <c r="B55" s="2" t="inlineStr">
        <is>
          <t>Principal</t>
        </is>
      </c>
      <c r="C55" s="6" t="n">
        <v>0.45</v>
      </c>
      <c r="D55" s="5" t="n">
        <v>45717</v>
      </c>
    </row>
    <row r="56">
      <c r="B56" s="2" t="inlineStr">
        <is>
          <t>Principal</t>
        </is>
      </c>
      <c r="C56" s="6" t="n">
        <v>0.45</v>
      </c>
      <c r="D56" s="5" t="n">
        <v>46113</v>
      </c>
    </row>
    <row r="57">
      <c r="B57" s="2" t="inlineStr">
        <is>
          <t>Associate</t>
        </is>
      </c>
      <c r="C57" s="6" t="n">
        <v>0.25</v>
      </c>
      <c r="D57" s="5" t="n">
        <v>46023</v>
      </c>
    </row>
    <row r="58">
      <c r="B58" s="2" t="inlineStr">
        <is>
          <t>Associate</t>
        </is>
      </c>
      <c r="C58" s="6" t="n">
        <v>0.25</v>
      </c>
      <c r="D58" s="5" t="n">
        <v>46388</v>
      </c>
    </row>
    <row r="59">
      <c r="B59" s="2" t="inlineStr">
        <is>
          <t>Fund controller</t>
        </is>
      </c>
      <c r="C59" s="6" t="n">
        <v>0.22</v>
      </c>
      <c r="D59" s="5" t="n">
        <v>45931</v>
      </c>
    </row>
    <row r="60">
      <c r="B60" s="2" t="inlineStr">
        <is>
          <t>Investor relations and operations associate</t>
        </is>
      </c>
      <c r="C60" s="6" t="n">
        <v>0.2</v>
      </c>
      <c r="D60" s="5" t="n">
        <v>46113</v>
      </c>
    </row>
    <row r="61">
      <c r="B61" s="2" t="inlineStr">
        <is>
          <t>Executive assistant and office manager</t>
        </is>
      </c>
      <c r="C61" s="6" t="n">
        <v>0.12</v>
      </c>
      <c r="D61" s="5" t="n">
        <v>45717</v>
      </c>
    </row>
    <row r="63">
      <c r="B63" s="4" t="inlineStr">
        <is>
          <t>Other management company costs (a year, 2025 dollars)</t>
        </is>
      </c>
      <c r="C63" s="4" t="inlineStr">
        <is>
          <t>$ million</t>
        </is>
      </c>
      <c r="D63" s="4" t="inlineStr">
        <is>
          <t>From year</t>
        </is>
      </c>
    </row>
    <row r="64">
      <c r="B64" s="2" t="inlineStr">
        <is>
          <t>Rent and office</t>
        </is>
      </c>
      <c r="C64" s="6" t="n">
        <v>0.42</v>
      </c>
      <c r="D64" s="11" t="n">
        <v>2026</v>
      </c>
    </row>
    <row r="65">
      <c r="B65" s="2" t="inlineStr">
        <is>
          <t>Outsourced CCO and compliance</t>
        </is>
      </c>
      <c r="C65" s="6" t="n">
        <v>0.12</v>
      </c>
      <c r="D65" s="11" t="n">
        <v>2026</v>
      </c>
    </row>
    <row r="66">
      <c r="B66" s="2" t="inlineStr">
        <is>
          <t>Technology, data and research</t>
        </is>
      </c>
      <c r="C66" s="6" t="n">
        <v>0.25</v>
      </c>
      <c r="D66" s="11" t="n">
        <v>2025</v>
      </c>
    </row>
    <row r="67">
      <c r="B67" s="2" t="inlineStr">
        <is>
          <t>Management company insurance</t>
        </is>
      </c>
      <c r="C67" s="6" t="n">
        <v>0.1</v>
      </c>
      <c r="D67" s="11" t="n">
        <v>2025</v>
      </c>
    </row>
    <row r="68">
      <c r="B68" s="2" t="inlineStr">
        <is>
          <t>Travel and sourcing</t>
        </is>
      </c>
      <c r="C68" s="6" t="n">
        <v>0.35</v>
      </c>
      <c r="D68" s="11" t="n">
        <v>2025</v>
      </c>
    </row>
    <row r="69">
      <c r="B69" s="2" t="inlineStr">
        <is>
          <t>Management company audit and tax</t>
        </is>
      </c>
      <c r="C69" s="6" t="n">
        <v>0.08</v>
      </c>
      <c r="D69" s="11" t="n">
        <v>2025</v>
      </c>
    </row>
    <row r="70">
      <c r="B70" s="2" t="inlineStr">
        <is>
          <t>Other professional fees</t>
        </is>
      </c>
      <c r="C70" s="6" t="n">
        <v>0.1</v>
      </c>
      <c r="D70" s="11" t="n">
        <v>2025</v>
      </c>
    </row>
    <row r="72">
      <c r="B72" s="4" t="inlineStr">
        <is>
          <t>Portfolio by year ($m)</t>
        </is>
      </c>
      <c r="C72" s="4" t="inlineStr">
        <is>
          <t>Invested at cost</t>
        </is>
      </c>
      <c r="D72" s="4" t="inlineStr">
        <is>
          <t>Realized at cost</t>
        </is>
      </c>
    </row>
    <row r="73">
      <c r="B73" s="12" t="n">
        <v>2025</v>
      </c>
      <c r="C73" s="6" t="n">
        <v>32.6</v>
      </c>
      <c r="D73" s="6" t="n">
        <v>0</v>
      </c>
    </row>
    <row r="74">
      <c r="B74" s="12" t="n">
        <v>2026</v>
      </c>
      <c r="C74" s="6" t="n">
        <v>96.09999999999999</v>
      </c>
      <c r="D74" s="6" t="n">
        <v>0</v>
      </c>
    </row>
    <row r="75">
      <c r="B75" s="12" t="n">
        <v>2027</v>
      </c>
      <c r="C75" s="6" t="n">
        <v>85</v>
      </c>
      <c r="D75" s="6" t="n">
        <v>0</v>
      </c>
    </row>
    <row r="76">
      <c r="B76" s="12" t="n">
        <v>2028</v>
      </c>
      <c r="C76" s="6" t="n">
        <v>80</v>
      </c>
      <c r="D76" s="6" t="n">
        <v>0</v>
      </c>
    </row>
    <row r="77">
      <c r="B77" s="12" t="n">
        <v>2029</v>
      </c>
      <c r="C77" s="6" t="n">
        <v>55</v>
      </c>
      <c r="D77" s="6" t="n">
        <v>20</v>
      </c>
    </row>
    <row r="78">
      <c r="B78" s="12" t="n">
        <v>2030</v>
      </c>
      <c r="C78" s="6" t="n">
        <v>25</v>
      </c>
      <c r="D78" s="6" t="n">
        <v>45</v>
      </c>
    </row>
    <row r="79">
      <c r="B79" s="12" t="n">
        <v>2031</v>
      </c>
      <c r="C79" s="6" t="n">
        <v>0</v>
      </c>
      <c r="D79" s="6" t="n">
        <v>70</v>
      </c>
    </row>
    <row r="80">
      <c r="B80" s="12" t="n">
        <v>2032</v>
      </c>
      <c r="C80" s="6" t="n">
        <v>0</v>
      </c>
      <c r="D80" s="6" t="n">
        <v>85</v>
      </c>
    </row>
    <row r="81">
      <c r="B81" s="12" t="n">
        <v>2033</v>
      </c>
      <c r="C81" s="6" t="n">
        <v>0</v>
      </c>
      <c r="D81" s="6" t="n">
        <v>80</v>
      </c>
    </row>
    <row r="82">
      <c r="B82" s="12" t="n">
        <v>2034</v>
      </c>
      <c r="C82" s="6" t="n">
        <v>0</v>
      </c>
      <c r="D82" s="6" t="n">
        <v>50</v>
      </c>
    </row>
    <row r="83">
      <c r="B83" s="12" t="n">
        <v>2035</v>
      </c>
      <c r="C83" s="6" t="n">
        <v>0</v>
      </c>
      <c r="D83" s="6" t="n">
        <v>23.7</v>
      </c>
    </row>
    <row r="85">
      <c r="B85" s="4" t="inlineStr">
        <is>
          <t>Capital calls before the second close (non-fee)</t>
        </is>
      </c>
      <c r="C85" s="4" t="inlineStr">
        <is>
          <t>Date</t>
        </is>
      </c>
      <c r="D85" s="4" t="inlineStr">
        <is>
          <t>$ million</t>
        </is>
      </c>
    </row>
    <row r="86">
      <c r="B86" s="2" t="inlineStr">
        <is>
          <t>organizational expenses reimbursed to the manager (the full cap)</t>
        </is>
      </c>
      <c r="C86" s="5" t="n">
        <v>45945</v>
      </c>
      <c r="D86" s="6" t="n">
        <v>1.75</v>
      </c>
    </row>
    <row r="87">
      <c r="B87" s="2" t="inlineStr">
        <is>
          <t>Northline Packaging (platform 1), price and capitalized deal costs</t>
        </is>
      </c>
      <c r="C87" s="5" t="n">
        <v>46001</v>
      </c>
      <c r="D87" s="6" t="n">
        <v>32.6</v>
      </c>
    </row>
    <row r="88">
      <c r="B88" s="2" t="inlineStr">
        <is>
          <t>Calder Fleet Services (platform 2), price and capitalized deal costs</t>
        </is>
      </c>
      <c r="C88" s="5" t="n">
        <v>46073</v>
      </c>
      <c r="D88" s="6" t="n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</cols>
  <sheetData>
    <row r="1" ht="10" customHeight="1"/>
    <row r="2">
      <c r="B2" s="1" t="inlineStr">
        <is>
          <t>Launch budget and the organizational expense cap (Chapter 8)</t>
        </is>
      </c>
      <c r="C2" s="3" t="n"/>
    </row>
    <row r="4">
      <c r="B4" s="4" t="inlineStr">
        <is>
          <t>Line</t>
        </is>
      </c>
      <c r="C4" s="4" t="inlineStr">
        <is>
          <t>$ million</t>
        </is>
      </c>
    </row>
    <row r="5">
      <c r="B5" s="2">
        <f>Inputs!B36</f>
        <v/>
      </c>
      <c r="C5" s="13">
        <f>Inputs!C36</f>
        <v/>
      </c>
    </row>
    <row r="6">
      <c r="B6" s="2">
        <f>Inputs!B37</f>
        <v/>
      </c>
      <c r="C6" s="13">
        <f>Inputs!C37</f>
        <v/>
      </c>
    </row>
    <row r="7">
      <c r="B7" s="2">
        <f>Inputs!B38</f>
        <v/>
      </c>
      <c r="C7" s="13">
        <f>Inputs!C38</f>
        <v/>
      </c>
    </row>
    <row r="8">
      <c r="B8" s="2">
        <f>Inputs!B39</f>
        <v/>
      </c>
      <c r="C8" s="13">
        <f>Inputs!C39</f>
        <v/>
      </c>
    </row>
    <row r="9">
      <c r="B9" s="2">
        <f>Inputs!B40</f>
        <v/>
      </c>
      <c r="C9" s="13">
        <f>Inputs!C40</f>
        <v/>
      </c>
    </row>
    <row r="10">
      <c r="B10" s="2">
        <f>Inputs!B41</f>
        <v/>
      </c>
      <c r="C10" s="13">
        <f>Inputs!C41</f>
        <v/>
      </c>
    </row>
    <row r="11">
      <c r="B11" s="2">
        <f>Inputs!B42</f>
        <v/>
      </c>
      <c r="C11" s="13">
        <f>Inputs!C42</f>
        <v/>
      </c>
    </row>
    <row r="12">
      <c r="B12" s="2">
        <f>Inputs!B43</f>
        <v/>
      </c>
      <c r="C12" s="13">
        <f>Inputs!C43</f>
        <v/>
      </c>
    </row>
    <row r="13">
      <c r="B13" s="2">
        <f>Inputs!B44</f>
        <v/>
      </c>
      <c r="C13" s="13">
        <f>Inputs!C44</f>
        <v/>
      </c>
    </row>
    <row r="14">
      <c r="B14" s="7" t="inlineStr">
        <is>
          <t>Organizational and offering expenses incurred</t>
        </is>
      </c>
      <c r="C14" s="8">
        <f>SUM(C5:C13)</f>
        <v/>
      </c>
    </row>
    <row r="15">
      <c r="B15" s="2" t="inlineStr">
        <is>
          <t>Cap borne by the fund</t>
        </is>
      </c>
      <c r="C15" s="13">
        <f>MIN(Inputs!$C$19,C14)</f>
        <v/>
      </c>
    </row>
    <row r="16">
      <c r="B16" s="2" t="inlineStr">
        <is>
          <t>Excess borne by the manager</t>
        </is>
      </c>
      <c r="C16" s="13">
        <f>C14-C15</f>
        <v/>
      </c>
    </row>
    <row r="17">
      <c r="B17" s="2" t="inlineStr">
        <is>
          <t>Cap as a share of final commitments</t>
        </is>
      </c>
      <c r="C17" s="14">
        <f>C15/Inputs!G8</f>
        <v/>
      </c>
    </row>
    <row r="18">
      <c r="B18" s="2" t="inlineStr">
        <is>
          <t>Manager's own launch costs</t>
        </is>
      </c>
      <c r="C18" s="13">
        <f>SUM(Inputs!C47:C49)</f>
        <v/>
      </c>
    </row>
    <row r="19">
      <c r="B19" s="7" t="inlineStr">
        <is>
          <t>Total launch cost to the manager in 2025 (own costs plus excess)</t>
        </is>
      </c>
      <c r="C19" s="8">
        <f>C18+C16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M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10" customHeight="1"/>
    <row r="2">
      <c r="B2" s="1" t="inlineStr">
        <is>
          <t>Management fees (Chapters 5 and 15)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>
      <c r="B4" s="4" t="inlineStr">
        <is>
          <t>Close</t>
        </is>
      </c>
      <c r="C4" s="4" t="inlineStr">
        <is>
          <t>Anchor</t>
        </is>
      </c>
      <c r="D4" s="4" t="inlineStr">
        <is>
          <t>Standard</t>
        </is>
      </c>
      <c r="E4" s="4" t="inlineStr">
        <is>
          <t>Annual fee in the investment period</t>
        </is>
      </c>
      <c r="F4" s="4" t="inlineStr">
        <is>
          <t>Close year</t>
        </is>
      </c>
    </row>
    <row r="5">
      <c r="B5" s="2" t="inlineStr">
        <is>
          <t>First close</t>
        </is>
      </c>
      <c r="C5" s="13">
        <f>Inputs!$C$12</f>
        <v/>
      </c>
      <c r="D5" s="13">
        <f>SUM(Inputs!D5:F5)-C5-Inputs!$C$11</f>
        <v/>
      </c>
      <c r="E5" s="15">
        <f>C5*Inputs!$C$14+D5*Inputs!$C$13</f>
        <v/>
      </c>
      <c r="F5" s="12">
        <f>YEAR(Inputs!C5)</f>
        <v/>
      </c>
    </row>
    <row r="6">
      <c r="B6" s="2" t="inlineStr">
        <is>
          <t>Second close</t>
        </is>
      </c>
      <c r="C6" s="13" t="n">
        <v>0</v>
      </c>
      <c r="D6" s="13">
        <f>SUM(Inputs!D6:F6)-C6</f>
        <v/>
      </c>
      <c r="E6" s="15">
        <f>C6*Inputs!$C$14+D6*Inputs!$C$13</f>
        <v/>
      </c>
      <c r="F6" s="12">
        <f>YEAR(Inputs!C6)</f>
        <v/>
      </c>
    </row>
    <row r="7">
      <c r="B7" s="2" t="inlineStr">
        <is>
          <t>Final close</t>
        </is>
      </c>
      <c r="C7" s="13" t="n">
        <v>0</v>
      </c>
      <c r="D7" s="13">
        <f>SUM(Inputs!D7:F7)-C7</f>
        <v/>
      </c>
      <c r="E7" s="15">
        <f>C7*Inputs!$C$14+D7*Inputs!$C$13</f>
        <v/>
      </c>
      <c r="F7" s="12">
        <f>YEAR(Inputs!C7)</f>
        <v/>
      </c>
    </row>
    <row r="8">
      <c r="B8" s="7" t="inlineStr">
        <is>
          <t>Total</t>
        </is>
      </c>
      <c r="C8" s="8">
        <f>SUM(C5:C7)</f>
        <v/>
      </c>
      <c r="D8" s="8">
        <f>SUM(D5:D7)</f>
        <v/>
      </c>
      <c r="E8" s="16">
        <f>SUM(E5:E7)</f>
        <v/>
      </c>
    </row>
    <row r="9">
      <c r="B9" s="2" t="inlineStr">
        <is>
          <t>Effective rate on total commitments</t>
        </is>
      </c>
      <c r="E9" s="14">
        <f>E8/Inputs!G8</f>
        <v/>
      </c>
    </row>
    <row r="10">
      <c r="B10" s="2" t="inlineStr">
        <is>
          <t>Post-period blended rate (fee-paying shares)</t>
        </is>
      </c>
      <c r="E10" s="17">
        <f>(C8*Inputs!$C$16+D8*Inputs!$C$15)/(C8+D8)</f>
        <v/>
      </c>
    </row>
    <row r="11">
      <c r="B11" s="2" t="inlineStr">
        <is>
          <t>Fee-paying share of commitments</t>
        </is>
      </c>
      <c r="E11" s="14">
        <f>(C8+D8)/Inputs!G8</f>
        <v/>
      </c>
    </row>
    <row r="13">
      <c r="B13" s="4" t="inlineStr">
        <is>
          <t>Accrual by close and year ($m)</t>
        </is>
      </c>
      <c r="C13" s="4" t="inlineStr">
        <is>
          <t>2025</t>
        </is>
      </c>
      <c r="D13" s="4" t="inlineStr">
        <is>
          <t>2026</t>
        </is>
      </c>
      <c r="E13" s="4" t="inlineStr">
        <is>
          <t>2027</t>
        </is>
      </c>
      <c r="F13" s="4" t="inlineStr">
        <is>
          <t>2028</t>
        </is>
      </c>
      <c r="G13" s="4" t="inlineStr">
        <is>
          <t>2029</t>
        </is>
      </c>
      <c r="H13" s="4" t="inlineStr">
        <is>
          <t>2030</t>
        </is>
      </c>
      <c r="I13" s="4" t="inlineStr">
        <is>
          <t>2031</t>
        </is>
      </c>
      <c r="J13" s="4" t="inlineStr">
        <is>
          <t>2032</t>
        </is>
      </c>
      <c r="K13" s="4" t="inlineStr">
        <is>
          <t>2033</t>
        </is>
      </c>
      <c r="L13" s="4" t="inlineStr">
        <is>
          <t>2034</t>
        </is>
      </c>
      <c r="M13" s="4" t="inlineStr">
        <is>
          <t>2035</t>
        </is>
      </c>
    </row>
    <row r="14">
      <c r="B14" s="2" t="inlineStr">
        <is>
          <t>Year</t>
        </is>
      </c>
      <c r="C14" s="12" t="n">
        <v>2025</v>
      </c>
      <c r="D14" s="12" t="n">
        <v>2026</v>
      </c>
      <c r="E14" s="12" t="n">
        <v>2027</v>
      </c>
      <c r="F14" s="12" t="n">
        <v>2028</v>
      </c>
      <c r="G14" s="12" t="n">
        <v>2029</v>
      </c>
      <c r="H14" s="12" t="n">
        <v>2030</v>
      </c>
      <c r="I14" s="12" t="n">
        <v>2031</v>
      </c>
      <c r="J14" s="12" t="n">
        <v>2032</v>
      </c>
      <c r="K14" s="12" t="n">
        <v>2033</v>
      </c>
      <c r="L14" s="12" t="n">
        <v>2034</v>
      </c>
      <c r="M14" s="12" t="n">
        <v>2035</v>
      </c>
    </row>
    <row r="15">
      <c r="B15" s="2" t="inlineStr">
        <is>
          <t>First close</t>
        </is>
      </c>
      <c r="C15" s="15">
        <f>$E$5*MAX(0,MIN(Inputs!$C$17,DATE(C$14+1,1,1))-MAX(Inputs!$C$5,DATE(C$14,1,1)))/365</f>
        <v/>
      </c>
      <c r="D15" s="15">
        <f>$E$5*MAX(0,MIN(Inputs!$C$17,DATE(D$14+1,1,1))-MAX(Inputs!$C$5,DATE(D$14,1,1)))/365</f>
        <v/>
      </c>
      <c r="E15" s="15">
        <f>$E$5*MAX(0,MIN(Inputs!$C$17,DATE(E$14+1,1,1))-MAX(Inputs!$C$5,DATE(E$14,1,1)))/365</f>
        <v/>
      </c>
      <c r="F15" s="15">
        <f>$E$5*MAX(0,MIN(Inputs!$C$17,DATE(F$14+1,1,1))-MAX(Inputs!$C$5,DATE(F$14,1,1)))/365</f>
        <v/>
      </c>
      <c r="G15" s="15">
        <f>$E$5*MAX(0,MIN(Inputs!$C$17,DATE(G$14+1,1,1))-MAX(Inputs!$C$5,DATE(G$14,1,1)))/365</f>
        <v/>
      </c>
      <c r="H15" s="15">
        <f>$E$5*MAX(0,MIN(Inputs!$C$17,DATE(H$14+1,1,1))-MAX(Inputs!$C$5,DATE(H$14,1,1)))/365</f>
        <v/>
      </c>
      <c r="I15" s="15">
        <f>$E$5*MAX(0,MIN(Inputs!$C$17,DATE(I$14+1,1,1))-MAX(Inputs!$C$5,DATE(I$14,1,1)))/365</f>
        <v/>
      </c>
      <c r="J15" s="15">
        <f>$E$5*MAX(0,MIN(Inputs!$C$17,DATE(J$14+1,1,1))-MAX(Inputs!$C$5,DATE(J$14,1,1)))/365</f>
        <v/>
      </c>
      <c r="K15" s="15">
        <f>$E$5*MAX(0,MIN(Inputs!$C$17,DATE(K$14+1,1,1))-MAX(Inputs!$C$5,DATE(K$14,1,1)))/365</f>
        <v/>
      </c>
      <c r="L15" s="15">
        <f>$E$5*MAX(0,MIN(Inputs!$C$17,DATE(L$14+1,1,1))-MAX(Inputs!$C$5,DATE(L$14,1,1)))/365</f>
        <v/>
      </c>
      <c r="M15" s="15">
        <f>$E$5*MAX(0,MIN(Inputs!$C$17,DATE(M$14+1,1,1))-MAX(Inputs!$C$5,DATE(M$14,1,1)))/365</f>
        <v/>
      </c>
    </row>
    <row r="16">
      <c r="B16" s="2" t="inlineStr">
        <is>
          <t>Second close</t>
        </is>
      </c>
      <c r="C16" s="15">
        <f>$E$6*MAX(0,MIN(Inputs!$C$17,DATE(C$14+1,1,1))-MAX(Inputs!$C$5,DATE(C$14,1,1)))/365</f>
        <v/>
      </c>
      <c r="D16" s="15">
        <f>$E$6*MAX(0,MIN(Inputs!$C$17,DATE(D$14+1,1,1))-MAX(Inputs!$C$5,DATE(D$14,1,1)))/365</f>
        <v/>
      </c>
      <c r="E16" s="15">
        <f>$E$6*MAX(0,MIN(Inputs!$C$17,DATE(E$14+1,1,1))-MAX(Inputs!$C$5,DATE(E$14,1,1)))/365</f>
        <v/>
      </c>
      <c r="F16" s="15">
        <f>$E$6*MAX(0,MIN(Inputs!$C$17,DATE(F$14+1,1,1))-MAX(Inputs!$C$5,DATE(F$14,1,1)))/365</f>
        <v/>
      </c>
      <c r="G16" s="15">
        <f>$E$6*MAX(0,MIN(Inputs!$C$17,DATE(G$14+1,1,1))-MAX(Inputs!$C$5,DATE(G$14,1,1)))/365</f>
        <v/>
      </c>
      <c r="H16" s="15">
        <f>$E$6*MAX(0,MIN(Inputs!$C$17,DATE(H$14+1,1,1))-MAX(Inputs!$C$5,DATE(H$14,1,1)))/365</f>
        <v/>
      </c>
      <c r="I16" s="15">
        <f>$E$6*MAX(0,MIN(Inputs!$C$17,DATE(I$14+1,1,1))-MAX(Inputs!$C$5,DATE(I$14,1,1)))/365</f>
        <v/>
      </c>
      <c r="J16" s="15">
        <f>$E$6*MAX(0,MIN(Inputs!$C$17,DATE(J$14+1,1,1))-MAX(Inputs!$C$5,DATE(J$14,1,1)))/365</f>
        <v/>
      </c>
      <c r="K16" s="15">
        <f>$E$6*MAX(0,MIN(Inputs!$C$17,DATE(K$14+1,1,1))-MAX(Inputs!$C$5,DATE(K$14,1,1)))/365</f>
        <v/>
      </c>
      <c r="L16" s="15">
        <f>$E$6*MAX(0,MIN(Inputs!$C$17,DATE(L$14+1,1,1))-MAX(Inputs!$C$5,DATE(L$14,1,1)))/365</f>
        <v/>
      </c>
      <c r="M16" s="15">
        <f>$E$6*MAX(0,MIN(Inputs!$C$17,DATE(M$14+1,1,1))-MAX(Inputs!$C$5,DATE(M$14,1,1)))/365</f>
        <v/>
      </c>
    </row>
    <row r="17">
      <c r="B17" s="2" t="inlineStr">
        <is>
          <t>Final close</t>
        </is>
      </c>
      <c r="C17" s="15">
        <f>$E$7*MAX(0,MIN(Inputs!$C$17,DATE(C$14+1,1,1))-MAX(Inputs!$C$5,DATE(C$14,1,1)))/365</f>
        <v/>
      </c>
      <c r="D17" s="15">
        <f>$E$7*MAX(0,MIN(Inputs!$C$17,DATE(D$14+1,1,1))-MAX(Inputs!$C$5,DATE(D$14,1,1)))/365</f>
        <v/>
      </c>
      <c r="E17" s="15">
        <f>$E$7*MAX(0,MIN(Inputs!$C$17,DATE(E$14+1,1,1))-MAX(Inputs!$C$5,DATE(E$14,1,1)))/365</f>
        <v/>
      </c>
      <c r="F17" s="15">
        <f>$E$7*MAX(0,MIN(Inputs!$C$17,DATE(F$14+1,1,1))-MAX(Inputs!$C$5,DATE(F$14,1,1)))/365</f>
        <v/>
      </c>
      <c r="G17" s="15">
        <f>$E$7*MAX(0,MIN(Inputs!$C$17,DATE(G$14+1,1,1))-MAX(Inputs!$C$5,DATE(G$14,1,1)))/365</f>
        <v/>
      </c>
      <c r="H17" s="15">
        <f>$E$7*MAX(0,MIN(Inputs!$C$17,DATE(H$14+1,1,1))-MAX(Inputs!$C$5,DATE(H$14,1,1)))/365</f>
        <v/>
      </c>
      <c r="I17" s="15">
        <f>$E$7*MAX(0,MIN(Inputs!$C$17,DATE(I$14+1,1,1))-MAX(Inputs!$C$5,DATE(I$14,1,1)))/365</f>
        <v/>
      </c>
      <c r="J17" s="15">
        <f>$E$7*MAX(0,MIN(Inputs!$C$17,DATE(J$14+1,1,1))-MAX(Inputs!$C$5,DATE(J$14,1,1)))/365</f>
        <v/>
      </c>
      <c r="K17" s="15">
        <f>$E$7*MAX(0,MIN(Inputs!$C$17,DATE(K$14+1,1,1))-MAX(Inputs!$C$5,DATE(K$14,1,1)))/365</f>
        <v/>
      </c>
      <c r="L17" s="15">
        <f>$E$7*MAX(0,MIN(Inputs!$C$17,DATE(L$14+1,1,1))-MAX(Inputs!$C$5,DATE(L$14,1,1)))/365</f>
        <v/>
      </c>
      <c r="M17" s="15">
        <f>$E$7*MAX(0,MIN(Inputs!$C$17,DATE(M$14+1,1,1))-MAX(Inputs!$C$5,DATE(M$14,1,1)))/365</f>
        <v/>
      </c>
    </row>
    <row r="19">
      <c r="B19" s="2" t="inlineStr">
        <is>
          <t>Investment-period fee received (catch-ups when paid)</t>
        </is>
      </c>
      <c r="C19" s="15">
        <f>IF($F$5&lt;C$14,C15,IF($F$5=C$14,SUM($C15:C15),0))+IF($F$6&lt;C$14,C16,IF($F$6=C$14,SUM($C16:C16),0))+IF($F$7&lt;C$14,C17,IF($F$7=C$14,SUM($C17:C17),0))</f>
        <v/>
      </c>
      <c r="D19" s="15">
        <f>IF($F$5&lt;D$14,D15,IF($F$5=D$14,SUM($C15:D15),0))+IF($F$6&lt;D$14,D16,IF($F$6=D$14,SUM($C16:D16),0))+IF($F$7&lt;D$14,D17,IF($F$7=D$14,SUM($C17:D17),0))</f>
        <v/>
      </c>
      <c r="E19" s="15">
        <f>IF($F$5&lt;E$14,E15,IF($F$5=E$14,SUM($C15:E15),0))+IF($F$6&lt;E$14,E16,IF($F$6=E$14,SUM($C16:E16),0))+IF($F$7&lt;E$14,E17,IF($F$7=E$14,SUM($C17:E17),0))</f>
        <v/>
      </c>
      <c r="F19" s="15">
        <f>IF($F$5&lt;F$14,F15,IF($F$5=F$14,SUM($C15:F15),0))+IF($F$6&lt;F$14,F16,IF($F$6=F$14,SUM($C16:F16),0))+IF($F$7&lt;F$14,F17,IF($F$7=F$14,SUM($C17:F17),0))</f>
        <v/>
      </c>
      <c r="G19" s="15">
        <f>IF($F$5&lt;G$14,G15,IF($F$5=G$14,SUM($C15:G15),0))+IF($F$6&lt;G$14,G16,IF($F$6=G$14,SUM($C16:G16),0))+IF($F$7&lt;G$14,G17,IF($F$7=G$14,SUM($C17:G17),0))</f>
        <v/>
      </c>
      <c r="H19" s="15">
        <f>IF($F$5&lt;H$14,H15,IF($F$5=H$14,SUM($C15:H15),0))+IF($F$6&lt;H$14,H16,IF($F$6=H$14,SUM($C16:H16),0))+IF($F$7&lt;H$14,H17,IF($F$7=H$14,SUM($C17:H17),0))</f>
        <v/>
      </c>
      <c r="I19" s="15">
        <f>IF($F$5&lt;I$14,I15,IF($F$5=I$14,SUM($C15:I15),0))+IF($F$6&lt;I$14,I16,IF($F$6=I$14,SUM($C16:I16),0))+IF($F$7&lt;I$14,I17,IF($F$7=I$14,SUM($C17:I17),0))</f>
        <v/>
      </c>
      <c r="J19" s="15">
        <f>IF($F$5&lt;J$14,J15,IF($F$5=J$14,SUM($C15:J15),0))+IF($F$6&lt;J$14,J16,IF($F$6=J$14,SUM($C16:J16),0))+IF($F$7&lt;J$14,J17,IF($F$7=J$14,SUM($C17:J17),0))</f>
        <v/>
      </c>
      <c r="K19" s="15">
        <f>IF($F$5&lt;K$14,K15,IF($F$5=K$14,SUM($C15:K15),0))+IF($F$6&lt;K$14,K16,IF($F$6=K$14,SUM($C16:K16),0))+IF($F$7&lt;K$14,K17,IF($F$7=K$14,SUM($C17:K17),0))</f>
        <v/>
      </c>
      <c r="L19" s="15">
        <f>IF($F$5&lt;L$14,L15,IF($F$5=L$14,SUM($C15:L15),0))+IF($F$6&lt;L$14,L16,IF($F$6=L$14,SUM($C16:L16),0))+IF($F$7&lt;L$14,L17,IF($F$7=L$14,SUM($C17:L17),0))</f>
        <v/>
      </c>
      <c r="M19" s="15">
        <f>IF($F$5&lt;M$14,M15,IF($F$5=M$14,SUM($C15:M15),0))+IF($F$6&lt;M$14,M16,IF($F$6=M$14,SUM($C16:M16),0))+IF($F$7&lt;M$14,M17,IF($F$7=M$14,SUM($C17:M17),0))</f>
        <v/>
      </c>
    </row>
    <row r="20">
      <c r="B20" s="2" t="inlineStr">
        <is>
          <t>Net invested capital at year end</t>
        </is>
      </c>
      <c r="C20" s="13">
        <f>Inputs!C73-Inputs!D73</f>
        <v/>
      </c>
      <c r="D20" s="13">
        <f>Inputs!C74-Inputs!D74+C20</f>
        <v/>
      </c>
      <c r="E20" s="13">
        <f>Inputs!C75-Inputs!D75+D20</f>
        <v/>
      </c>
      <c r="F20" s="13">
        <f>Inputs!C76-Inputs!D76+E20</f>
        <v/>
      </c>
      <c r="G20" s="13">
        <f>Inputs!C77-Inputs!D77+F20</f>
        <v/>
      </c>
      <c r="H20" s="13">
        <f>Inputs!C78-Inputs!D78+G20</f>
        <v/>
      </c>
      <c r="I20" s="13">
        <f>Inputs!C79-Inputs!D79+H20</f>
        <v/>
      </c>
      <c r="J20" s="13">
        <f>Inputs!C80-Inputs!D80+I20</f>
        <v/>
      </c>
      <c r="K20" s="13">
        <f>Inputs!C81-Inputs!D81+J20</f>
        <v/>
      </c>
      <c r="L20" s="13">
        <f>Inputs!C82-Inputs!D82+K20</f>
        <v/>
      </c>
      <c r="M20" s="13">
        <f>Inputs!C83-Inputs!D83+L20</f>
        <v/>
      </c>
    </row>
    <row r="21">
      <c r="B21" s="2" t="inlineStr">
        <is>
          <t>Post-period fee received</t>
        </is>
      </c>
      <c r="C21" s="15">
        <f>(0+C20)/2*$E$11*$E$10*MAX(0,DATE(C$14+1,1,1)-MAX(Inputs!$C$17,DATE(C$14,1,1)))/365</f>
        <v/>
      </c>
      <c r="D21" s="15">
        <f>(C20+D20)/2*$E$11*$E$10*MAX(0,DATE(D$14+1,1,1)-MAX(Inputs!$C$17,DATE(D$14,1,1)))/365</f>
        <v/>
      </c>
      <c r="E21" s="15">
        <f>(D20+E20)/2*$E$11*$E$10*MAX(0,DATE(E$14+1,1,1)-MAX(Inputs!$C$17,DATE(E$14,1,1)))/365</f>
        <v/>
      </c>
      <c r="F21" s="15">
        <f>(E20+F20)/2*$E$11*$E$10*MAX(0,DATE(F$14+1,1,1)-MAX(Inputs!$C$17,DATE(F$14,1,1)))/365</f>
        <v/>
      </c>
      <c r="G21" s="15">
        <f>(F20+G20)/2*$E$11*$E$10*MAX(0,DATE(G$14+1,1,1)-MAX(Inputs!$C$17,DATE(G$14,1,1)))/365</f>
        <v/>
      </c>
      <c r="H21" s="15">
        <f>(G20+H20)/2*$E$11*$E$10*MAX(0,DATE(H$14+1,1,1)-MAX(Inputs!$C$17,DATE(H$14,1,1)))/365</f>
        <v/>
      </c>
      <c r="I21" s="15">
        <f>(H20+I20)/2*$E$11*$E$10*MAX(0,DATE(I$14+1,1,1)-MAX(Inputs!$C$17,DATE(I$14,1,1)))/365</f>
        <v/>
      </c>
      <c r="J21" s="15">
        <f>(I20+J20)/2*$E$11*$E$10*MAX(0,DATE(J$14+1,1,1)-MAX(Inputs!$C$17,DATE(J$14,1,1)))/365</f>
        <v/>
      </c>
      <c r="K21" s="15">
        <f>(J20+K20)/2*$E$11*$E$10*MAX(0,DATE(K$14+1,1,1)-MAX(Inputs!$C$17,DATE(K$14,1,1)))/365</f>
        <v/>
      </c>
      <c r="L21" s="15">
        <f>(K20+L20)/2*$E$11*$E$10*MAX(0,DATE(L$14+1,1,1)-MAX(Inputs!$C$17,DATE(L$14,1,1)))/365</f>
        <v/>
      </c>
      <c r="M21" s="15">
        <f>(L20+M20)/2*$E$11*$E$10*MAX(0,DATE(M$14+1,1,1)-MAX(Inputs!$C$17,DATE(M$14,1,1)))/365</f>
        <v/>
      </c>
    </row>
    <row r="22">
      <c r="B22" s="7" t="inlineStr">
        <is>
          <t>Fund I fee received by the manager</t>
        </is>
      </c>
      <c r="C22" s="8">
        <f>C19+C21</f>
        <v/>
      </c>
      <c r="D22" s="8">
        <f>D19+D21</f>
        <v/>
      </c>
      <c r="E22" s="8">
        <f>E19+E21</f>
        <v/>
      </c>
      <c r="F22" s="8">
        <f>F19+F21</f>
        <v/>
      </c>
      <c r="G22" s="8">
        <f>G19+G21</f>
        <v/>
      </c>
      <c r="H22" s="8">
        <f>H19+H21</f>
        <v/>
      </c>
      <c r="I22" s="8">
        <f>I19+I21</f>
        <v/>
      </c>
      <c r="J22" s="8">
        <f>J19+J21</f>
        <v/>
      </c>
      <c r="K22" s="8">
        <f>K19+K21</f>
        <v/>
      </c>
      <c r="L22" s="8">
        <f>L19+L21</f>
        <v/>
      </c>
      <c r="M22" s="8">
        <f>M19+M21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M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10" customHeight="1"/>
    <row r="2">
      <c r="B2" s="1" t="inlineStr">
        <is>
          <t>The management company, ten years (Chapter 15)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>
      <c r="B4" s="4" t="inlineStr">
        <is>
          <t>$ million</t>
        </is>
      </c>
      <c r="C4" s="4" t="inlineStr">
        <is>
          <t>2025</t>
        </is>
      </c>
      <c r="D4" s="4" t="inlineStr">
        <is>
          <t>2026</t>
        </is>
      </c>
      <c r="E4" s="4" t="inlineStr">
        <is>
          <t>2027</t>
        </is>
      </c>
      <c r="F4" s="4" t="inlineStr">
        <is>
          <t>2028</t>
        </is>
      </c>
      <c r="G4" s="4" t="inlineStr">
        <is>
          <t>2029</t>
        </is>
      </c>
      <c r="H4" s="4" t="inlineStr">
        <is>
          <t>2030</t>
        </is>
      </c>
      <c r="I4" s="4" t="inlineStr">
        <is>
          <t>2031</t>
        </is>
      </c>
      <c r="J4" s="4" t="inlineStr">
        <is>
          <t>2032</t>
        </is>
      </c>
      <c r="K4" s="4" t="inlineStr">
        <is>
          <t>2033</t>
        </is>
      </c>
      <c r="L4" s="4" t="inlineStr">
        <is>
          <t>2034</t>
        </is>
      </c>
      <c r="M4" s="4" t="inlineStr">
        <is>
          <t>2035</t>
        </is>
      </c>
    </row>
    <row r="5">
      <c r="B5" s="2" t="inlineStr">
        <is>
          <t>Year</t>
        </is>
      </c>
      <c r="C5" s="12" t="n">
        <v>2025</v>
      </c>
      <c r="D5" s="12" t="n">
        <v>2026</v>
      </c>
      <c r="E5" s="12" t="n">
        <v>2027</v>
      </c>
      <c r="F5" s="12" t="n">
        <v>2028</v>
      </c>
      <c r="G5" s="12" t="n">
        <v>2029</v>
      </c>
      <c r="H5" s="12" t="n">
        <v>2030</v>
      </c>
      <c r="I5" s="12" t="n">
        <v>2031</v>
      </c>
      <c r="J5" s="12" t="n">
        <v>2032</v>
      </c>
      <c r="K5" s="12" t="n">
        <v>2033</v>
      </c>
      <c r="L5" s="12" t="n">
        <v>2034</v>
      </c>
      <c r="M5" s="12" t="n">
        <v>2035</v>
      </c>
    </row>
    <row r="6">
      <c r="B6" s="2" t="inlineStr">
        <is>
          <t>Fund I fee</t>
        </is>
      </c>
      <c r="C6" s="13">
        <f>Fees!C22</f>
        <v/>
      </c>
      <c r="D6" s="13">
        <f>Fees!D22</f>
        <v/>
      </c>
      <c r="E6" s="13">
        <f>Fees!E22</f>
        <v/>
      </c>
      <c r="F6" s="13">
        <f>Fees!F22</f>
        <v/>
      </c>
      <c r="G6" s="13">
        <f>Fees!G22</f>
        <v/>
      </c>
      <c r="H6" s="13">
        <f>Fees!H22</f>
        <v/>
      </c>
      <c r="I6" s="13">
        <f>Fees!I22</f>
        <v/>
      </c>
      <c r="J6" s="13">
        <f>Fees!J22</f>
        <v/>
      </c>
      <c r="K6" s="13">
        <f>Fees!K22</f>
        <v/>
      </c>
      <c r="L6" s="13">
        <f>Fees!L22</f>
        <v/>
      </c>
      <c r="M6" s="13">
        <f>Fees!M22</f>
        <v/>
      </c>
    </row>
    <row r="7">
      <c r="B7" s="2" t="inlineStr">
        <is>
          <t>Fund II fee</t>
        </is>
      </c>
      <c r="C7" s="13">
        <f>Inputs!$C$29*Inputs!$C$30*Inputs!$C$31*MAX(0,DATE(C$5+1,1,1)-MAX(Inputs!$C$32,DATE(C$5,1,1)))/365</f>
        <v/>
      </c>
      <c r="D7" s="13">
        <f>Inputs!$C$29*Inputs!$C$30*Inputs!$C$31*MAX(0,DATE(D$5+1,1,1)-MAX(Inputs!$C$32,DATE(D$5,1,1)))/365</f>
        <v/>
      </c>
      <c r="E7" s="13">
        <f>Inputs!$C$29*Inputs!$C$30*Inputs!$C$31*MAX(0,DATE(E$5+1,1,1)-MAX(Inputs!$C$32,DATE(E$5,1,1)))/365</f>
        <v/>
      </c>
      <c r="F7" s="13">
        <f>Inputs!$C$29*Inputs!$C$30*Inputs!$C$31*MAX(0,DATE(F$5+1,1,1)-MAX(Inputs!$C$32,DATE(F$5,1,1)))/365</f>
        <v/>
      </c>
      <c r="G7" s="13">
        <f>Inputs!$C$29*Inputs!$C$30*Inputs!$C$31*MAX(0,DATE(G$5+1,1,1)-MAX(Inputs!$C$32,DATE(G$5,1,1)))/365</f>
        <v/>
      </c>
      <c r="H7" s="13">
        <f>Inputs!$C$29*Inputs!$C$30*Inputs!$C$31*MAX(0,DATE(H$5+1,1,1)-MAX(Inputs!$C$32,DATE(H$5,1,1)))/365</f>
        <v/>
      </c>
      <c r="I7" s="13">
        <f>Inputs!$C$29*Inputs!$C$30*Inputs!$C$31*MAX(0,DATE(I$5+1,1,1)-MAX(Inputs!$C$32,DATE(I$5,1,1)))/365</f>
        <v/>
      </c>
      <c r="J7" s="13">
        <f>Inputs!$C$29*Inputs!$C$30*Inputs!$C$31*MAX(0,DATE(J$5+1,1,1)-MAX(Inputs!$C$32,DATE(J$5,1,1)))/365</f>
        <v/>
      </c>
      <c r="K7" s="13">
        <f>Inputs!$C$29*Inputs!$C$30*Inputs!$C$31*MAX(0,DATE(K$5+1,1,1)-MAX(Inputs!$C$32,DATE(K$5,1,1)))/365</f>
        <v/>
      </c>
      <c r="L7" s="13">
        <f>Inputs!$C$29*Inputs!$C$30*Inputs!$C$31*MAX(0,DATE(L$5+1,1,1)-MAX(Inputs!$C$32,DATE(L$5,1,1)))/365</f>
        <v/>
      </c>
      <c r="M7" s="13">
        <f>Inputs!$C$29*Inputs!$C$30*Inputs!$C$31*MAX(0,DATE(M$5+1,1,1)-MAX(Inputs!$C$32,DATE(M$5,1,1)))/365</f>
        <v/>
      </c>
    </row>
    <row r="8">
      <c r="B8" s="18" t="inlineStr">
        <is>
          <t>Revenue</t>
        </is>
      </c>
      <c r="C8" s="19">
        <f>C6+C7</f>
        <v/>
      </c>
      <c r="D8" s="19">
        <f>D6+D7</f>
        <v/>
      </c>
      <c r="E8" s="19">
        <f>E6+E7</f>
        <v/>
      </c>
      <c r="F8" s="19">
        <f>F6+F7</f>
        <v/>
      </c>
      <c r="G8" s="19">
        <f>G6+G7</f>
        <v/>
      </c>
      <c r="H8" s="19">
        <f>H6+H7</f>
        <v/>
      </c>
      <c r="I8" s="19">
        <f>I6+I7</f>
        <v/>
      </c>
      <c r="J8" s="19">
        <f>J6+J7</f>
        <v/>
      </c>
      <c r="K8" s="19">
        <f>K6+K7</f>
        <v/>
      </c>
      <c r="L8" s="19">
        <f>L6+L7</f>
        <v/>
      </c>
      <c r="M8" s="19">
        <f>M6+M7</f>
        <v/>
      </c>
    </row>
    <row r="9">
      <c r="B9" s="2" t="inlineStr">
        <is>
          <t>Staff (with benefits)</t>
        </is>
      </c>
      <c r="C9" s="13">
        <f>SUMPRODUCT(Inputs!$C$52:$C$61,(DATE(C$5+1,1,1)-IF(Inputs!$D$52:$D$61&gt;DATE(C$5,1,1),Inputs!$D$52:$D$61,DATE(C$5,1,1)))*(Inputs!$D$52:$D$61&lt;DATE(C$5+1,1,1)))/365*(1+Inputs!$C$25)^(C$5-2025)*IF(AND(Inputs!$C$29=0,C$5&gt;=2031),1-Inputs!$C$27,1)*(1+Inputs!$C$26)</f>
        <v/>
      </c>
      <c r="D9" s="13">
        <f>SUMPRODUCT(Inputs!$C$52:$C$61,(DATE(D$5+1,1,1)-IF(Inputs!$D$52:$D$61&gt;DATE(D$5,1,1),Inputs!$D$52:$D$61,DATE(D$5,1,1)))*(Inputs!$D$52:$D$61&lt;DATE(D$5+1,1,1)))/365*(1+Inputs!$C$25)^(D$5-2025)*IF(AND(Inputs!$C$29=0,D$5&gt;=2031),1-Inputs!$C$27,1)*(1+Inputs!$C$26)</f>
        <v/>
      </c>
      <c r="E9" s="13">
        <f>SUMPRODUCT(Inputs!$C$52:$C$61,(DATE(E$5+1,1,1)-IF(Inputs!$D$52:$D$61&gt;DATE(E$5,1,1),Inputs!$D$52:$D$61,DATE(E$5,1,1)))*(Inputs!$D$52:$D$61&lt;DATE(E$5+1,1,1)))/365*(1+Inputs!$C$25)^(E$5-2025)*IF(AND(Inputs!$C$29=0,E$5&gt;=2031),1-Inputs!$C$27,1)*(1+Inputs!$C$26)</f>
        <v/>
      </c>
      <c r="F9" s="13">
        <f>SUMPRODUCT(Inputs!$C$52:$C$61,(DATE(F$5+1,1,1)-IF(Inputs!$D$52:$D$61&gt;DATE(F$5,1,1),Inputs!$D$52:$D$61,DATE(F$5,1,1)))*(Inputs!$D$52:$D$61&lt;DATE(F$5+1,1,1)))/365*(1+Inputs!$C$25)^(F$5-2025)*IF(AND(Inputs!$C$29=0,F$5&gt;=2031),1-Inputs!$C$27,1)*(1+Inputs!$C$26)</f>
        <v/>
      </c>
      <c r="G9" s="13">
        <f>SUMPRODUCT(Inputs!$C$52:$C$61,(DATE(G$5+1,1,1)-IF(Inputs!$D$52:$D$61&gt;DATE(G$5,1,1),Inputs!$D$52:$D$61,DATE(G$5,1,1)))*(Inputs!$D$52:$D$61&lt;DATE(G$5+1,1,1)))/365*(1+Inputs!$C$25)^(G$5-2025)*IF(AND(Inputs!$C$29=0,G$5&gt;=2031),1-Inputs!$C$27,1)*(1+Inputs!$C$26)</f>
        <v/>
      </c>
      <c r="H9" s="13">
        <f>SUMPRODUCT(Inputs!$C$52:$C$61,(DATE(H$5+1,1,1)-IF(Inputs!$D$52:$D$61&gt;DATE(H$5,1,1),Inputs!$D$52:$D$61,DATE(H$5,1,1)))*(Inputs!$D$52:$D$61&lt;DATE(H$5+1,1,1)))/365*(1+Inputs!$C$25)^(H$5-2025)*IF(AND(Inputs!$C$29=0,H$5&gt;=2031),1-Inputs!$C$27,1)*(1+Inputs!$C$26)</f>
        <v/>
      </c>
      <c r="I9" s="13">
        <f>SUMPRODUCT(Inputs!$C$52:$C$61,(DATE(I$5+1,1,1)-IF(Inputs!$D$52:$D$61&gt;DATE(I$5,1,1),Inputs!$D$52:$D$61,DATE(I$5,1,1)))*(Inputs!$D$52:$D$61&lt;DATE(I$5+1,1,1)))/365*(1+Inputs!$C$25)^(I$5-2025)*IF(AND(Inputs!$C$29=0,I$5&gt;=2031),1-Inputs!$C$27,1)*(1+Inputs!$C$26)</f>
        <v/>
      </c>
      <c r="J9" s="13">
        <f>SUMPRODUCT(Inputs!$C$52:$C$61,(DATE(J$5+1,1,1)-IF(Inputs!$D$52:$D$61&gt;DATE(J$5,1,1),Inputs!$D$52:$D$61,DATE(J$5,1,1)))*(Inputs!$D$52:$D$61&lt;DATE(J$5+1,1,1)))/365*(1+Inputs!$C$25)^(J$5-2025)*IF(AND(Inputs!$C$29=0,J$5&gt;=2031),1-Inputs!$C$27,1)*(1+Inputs!$C$26)</f>
        <v/>
      </c>
      <c r="K9" s="13">
        <f>SUMPRODUCT(Inputs!$C$52:$C$61,(DATE(K$5+1,1,1)-IF(Inputs!$D$52:$D$61&gt;DATE(K$5,1,1),Inputs!$D$52:$D$61,DATE(K$5,1,1)))*(Inputs!$D$52:$D$61&lt;DATE(K$5+1,1,1)))/365*(1+Inputs!$C$25)^(K$5-2025)*IF(AND(Inputs!$C$29=0,K$5&gt;=2031),1-Inputs!$C$27,1)*(1+Inputs!$C$26)</f>
        <v/>
      </c>
      <c r="L9" s="13">
        <f>SUMPRODUCT(Inputs!$C$52:$C$61,(DATE(L$5+1,1,1)-IF(Inputs!$D$52:$D$61&gt;DATE(L$5,1,1),Inputs!$D$52:$D$61,DATE(L$5,1,1)))*(Inputs!$D$52:$D$61&lt;DATE(L$5+1,1,1)))/365*(1+Inputs!$C$25)^(L$5-2025)*IF(AND(Inputs!$C$29=0,L$5&gt;=2031),1-Inputs!$C$27,1)*(1+Inputs!$C$26)</f>
        <v/>
      </c>
      <c r="M9" s="13">
        <f>SUMPRODUCT(Inputs!$C$52:$C$61,(DATE(M$5+1,1,1)-IF(Inputs!$D$52:$D$61&gt;DATE(M$5,1,1),Inputs!$D$52:$D$61,DATE(M$5,1,1)))*(Inputs!$D$52:$D$61&lt;DATE(M$5+1,1,1)))/365*(1+Inputs!$C$25)^(M$5-2025)*IF(AND(Inputs!$C$29=0,M$5&gt;=2031),1-Inputs!$C$27,1)*(1+Inputs!$C$26)</f>
        <v/>
      </c>
    </row>
    <row r="10">
      <c r="B10" s="2" t="inlineStr">
        <is>
          <t>Other costs</t>
        </is>
      </c>
      <c r="C10" s="13">
        <f>SUMPRODUCT(Inputs!$C$64:$C$70,--(Inputs!$D$64:$D$70&lt;=C$5))*(1+Inputs!$C$25)^(C$5-2025)+IF(C$5=2025,Inputs!$C$28,0)</f>
        <v/>
      </c>
      <c r="D10" s="13">
        <f>SUMPRODUCT(Inputs!$C$64:$C$70,--(Inputs!$D$64:$D$70&lt;=D$5))*(1+Inputs!$C$25)^(D$5-2025)+IF(D$5=2025,Inputs!$C$28,0)</f>
        <v/>
      </c>
      <c r="E10" s="13">
        <f>SUMPRODUCT(Inputs!$C$64:$C$70,--(Inputs!$D$64:$D$70&lt;=E$5))*(1+Inputs!$C$25)^(E$5-2025)+IF(E$5=2025,Inputs!$C$28,0)</f>
        <v/>
      </c>
      <c r="F10" s="13">
        <f>SUMPRODUCT(Inputs!$C$64:$C$70,--(Inputs!$D$64:$D$70&lt;=F$5))*(1+Inputs!$C$25)^(F$5-2025)+IF(F$5=2025,Inputs!$C$28,0)</f>
        <v/>
      </c>
      <c r="G10" s="13">
        <f>SUMPRODUCT(Inputs!$C$64:$C$70,--(Inputs!$D$64:$D$70&lt;=G$5))*(1+Inputs!$C$25)^(G$5-2025)+IF(G$5=2025,Inputs!$C$28,0)</f>
        <v/>
      </c>
      <c r="H10" s="13">
        <f>SUMPRODUCT(Inputs!$C$64:$C$70,--(Inputs!$D$64:$D$70&lt;=H$5))*(1+Inputs!$C$25)^(H$5-2025)+IF(H$5=2025,Inputs!$C$28,0)</f>
        <v/>
      </c>
      <c r="I10" s="13">
        <f>SUMPRODUCT(Inputs!$C$64:$C$70,--(Inputs!$D$64:$D$70&lt;=I$5))*(1+Inputs!$C$25)^(I$5-2025)+IF(I$5=2025,Inputs!$C$28,0)</f>
        <v/>
      </c>
      <c r="J10" s="13">
        <f>SUMPRODUCT(Inputs!$C$64:$C$70,--(Inputs!$D$64:$D$70&lt;=J$5))*(1+Inputs!$C$25)^(J$5-2025)+IF(J$5=2025,Inputs!$C$28,0)</f>
        <v/>
      </c>
      <c r="K10" s="13">
        <f>SUMPRODUCT(Inputs!$C$64:$C$70,--(Inputs!$D$64:$D$70&lt;=K$5))*(1+Inputs!$C$25)^(K$5-2025)+IF(K$5=2025,Inputs!$C$28,0)</f>
        <v/>
      </c>
      <c r="L10" s="13">
        <f>SUMPRODUCT(Inputs!$C$64:$C$70,--(Inputs!$D$64:$D$70&lt;=L$5))*(1+Inputs!$C$25)^(L$5-2025)+IF(L$5=2025,Inputs!$C$28,0)</f>
        <v/>
      </c>
      <c r="M10" s="13">
        <f>SUMPRODUCT(Inputs!$C$64:$C$70,--(Inputs!$D$64:$D$70&lt;=M$5))*(1+Inputs!$C$25)^(M$5-2025)+IF(M$5=2025,Inputs!$C$28,0)</f>
        <v/>
      </c>
    </row>
    <row r="11">
      <c r="B11" s="2" t="inlineStr">
        <is>
          <t>Launch costs and excess organizational expenses</t>
        </is>
      </c>
      <c r="C11" s="13">
        <f>IF(C$5=2025,'Launch Budget'!C18+'Launch Budget'!C16,0)</f>
        <v/>
      </c>
      <c r="D11" s="13">
        <f>IF(D$5=2025,'Launch Budget'!C18+'Launch Budget'!C16,0)</f>
        <v/>
      </c>
      <c r="E11" s="13">
        <f>IF(E$5=2025,'Launch Budget'!C18+'Launch Budget'!C16,0)</f>
        <v/>
      </c>
      <c r="F11" s="13">
        <f>IF(F$5=2025,'Launch Budget'!C18+'Launch Budget'!C16,0)</f>
        <v/>
      </c>
      <c r="G11" s="13">
        <f>IF(G$5=2025,'Launch Budget'!C18+'Launch Budget'!C16,0)</f>
        <v/>
      </c>
      <c r="H11" s="13">
        <f>IF(H$5=2025,'Launch Budget'!C18+'Launch Budget'!C16,0)</f>
        <v/>
      </c>
      <c r="I11" s="13">
        <f>IF(I$5=2025,'Launch Budget'!C18+'Launch Budget'!C16,0)</f>
        <v/>
      </c>
      <c r="J11" s="13">
        <f>IF(J$5=2025,'Launch Budget'!C18+'Launch Budget'!C16,0)</f>
        <v/>
      </c>
      <c r="K11" s="13">
        <f>IF(K$5=2025,'Launch Budget'!C18+'Launch Budget'!C16,0)</f>
        <v/>
      </c>
      <c r="L11" s="13">
        <f>IF(L$5=2025,'Launch Budget'!C18+'Launch Budget'!C16,0)</f>
        <v/>
      </c>
      <c r="M11" s="13">
        <f>IF(M$5=2025,'Launch Budget'!C18+'Launch Budget'!C16,0)</f>
        <v/>
      </c>
    </row>
    <row r="12">
      <c r="B12" s="2" t="inlineStr">
        <is>
          <t>Fund II extra costs</t>
        </is>
      </c>
      <c r="C12" s="13">
        <f>IF(C$5&gt;=YEAR(Inputs!$C$32),Inputs!$C$29*Inputs!$C$33*(1+Inputs!$C$25)^(C$5-2025),0)</f>
        <v/>
      </c>
      <c r="D12" s="13">
        <f>IF(D$5&gt;=YEAR(Inputs!$C$32),Inputs!$C$29*Inputs!$C$33*(1+Inputs!$C$25)^(D$5-2025),0)</f>
        <v/>
      </c>
      <c r="E12" s="13">
        <f>IF(E$5&gt;=YEAR(Inputs!$C$32),Inputs!$C$29*Inputs!$C$33*(1+Inputs!$C$25)^(E$5-2025),0)</f>
        <v/>
      </c>
      <c r="F12" s="13">
        <f>IF(F$5&gt;=YEAR(Inputs!$C$32),Inputs!$C$29*Inputs!$C$33*(1+Inputs!$C$25)^(F$5-2025),0)</f>
        <v/>
      </c>
      <c r="G12" s="13">
        <f>IF(G$5&gt;=YEAR(Inputs!$C$32),Inputs!$C$29*Inputs!$C$33*(1+Inputs!$C$25)^(G$5-2025),0)</f>
        <v/>
      </c>
      <c r="H12" s="13">
        <f>IF(H$5&gt;=YEAR(Inputs!$C$32),Inputs!$C$29*Inputs!$C$33*(1+Inputs!$C$25)^(H$5-2025),0)</f>
        <v/>
      </c>
      <c r="I12" s="13">
        <f>IF(I$5&gt;=YEAR(Inputs!$C$32),Inputs!$C$29*Inputs!$C$33*(1+Inputs!$C$25)^(I$5-2025),0)</f>
        <v/>
      </c>
      <c r="J12" s="13">
        <f>IF(J$5&gt;=YEAR(Inputs!$C$32),Inputs!$C$29*Inputs!$C$33*(1+Inputs!$C$25)^(J$5-2025),0)</f>
        <v/>
      </c>
      <c r="K12" s="13">
        <f>IF(K$5&gt;=YEAR(Inputs!$C$32),Inputs!$C$29*Inputs!$C$33*(1+Inputs!$C$25)^(K$5-2025),0)</f>
        <v/>
      </c>
      <c r="L12" s="13">
        <f>IF(L$5&gt;=YEAR(Inputs!$C$32),Inputs!$C$29*Inputs!$C$33*(1+Inputs!$C$25)^(L$5-2025),0)</f>
        <v/>
      </c>
      <c r="M12" s="13">
        <f>IF(M$5&gt;=YEAR(Inputs!$C$32),Inputs!$C$29*Inputs!$C$33*(1+Inputs!$C$25)^(M$5-2025),0)</f>
        <v/>
      </c>
    </row>
    <row r="13">
      <c r="B13" s="18" t="inlineStr">
        <is>
          <t>Total costs</t>
        </is>
      </c>
      <c r="C13" s="19">
        <f>SUM(C9:C12)</f>
        <v/>
      </c>
      <c r="D13" s="19">
        <f>SUM(D9:D12)</f>
        <v/>
      </c>
      <c r="E13" s="19">
        <f>SUM(E9:E12)</f>
        <v/>
      </c>
      <c r="F13" s="19">
        <f>SUM(F9:F12)</f>
        <v/>
      </c>
      <c r="G13" s="19">
        <f>SUM(G9:G12)</f>
        <v/>
      </c>
      <c r="H13" s="19">
        <f>SUM(H9:H12)</f>
        <v/>
      </c>
      <c r="I13" s="19">
        <f>SUM(I9:I12)</f>
        <v/>
      </c>
      <c r="J13" s="19">
        <f>SUM(J9:J12)</f>
        <v/>
      </c>
      <c r="K13" s="19">
        <f>SUM(K9:K12)</f>
        <v/>
      </c>
      <c r="L13" s="19">
        <f>SUM(L9:L12)</f>
        <v/>
      </c>
      <c r="M13" s="19">
        <f>SUM(M9:M12)</f>
        <v/>
      </c>
    </row>
    <row r="14">
      <c r="B14" s="7" t="inlineStr">
        <is>
          <t>Result</t>
        </is>
      </c>
      <c r="C14" s="8">
        <f>C8-C13</f>
        <v/>
      </c>
      <c r="D14" s="8">
        <f>D8-D13</f>
        <v/>
      </c>
      <c r="E14" s="8">
        <f>E8-E13</f>
        <v/>
      </c>
      <c r="F14" s="8">
        <f>F8-F13</f>
        <v/>
      </c>
      <c r="G14" s="8">
        <f>G8-G13</f>
        <v/>
      </c>
      <c r="H14" s="8">
        <f>H8-H13</f>
        <v/>
      </c>
      <c r="I14" s="8">
        <f>I8-I13</f>
        <v/>
      </c>
      <c r="J14" s="8">
        <f>J8-J13</f>
        <v/>
      </c>
      <c r="K14" s="8">
        <f>K8-K13</f>
        <v/>
      </c>
      <c r="L14" s="8">
        <f>L8-L13</f>
        <v/>
      </c>
      <c r="M14" s="8">
        <f>M8-M13</f>
        <v/>
      </c>
    </row>
    <row r="15">
      <c r="B15" s="18" t="inlineStr">
        <is>
          <t>Cumulative result</t>
        </is>
      </c>
      <c r="C15" s="19">
        <f>C14</f>
        <v/>
      </c>
      <c r="D15" s="19">
        <f>D14+C15</f>
        <v/>
      </c>
      <c r="E15" s="19">
        <f>E14+D15</f>
        <v/>
      </c>
      <c r="F15" s="19">
        <f>F14+E15</f>
        <v/>
      </c>
      <c r="G15" s="19">
        <f>G14+F15</f>
        <v/>
      </c>
      <c r="H15" s="19">
        <f>H14+G15</f>
        <v/>
      </c>
      <c r="I15" s="19">
        <f>I14+H15</f>
        <v/>
      </c>
      <c r="J15" s="19">
        <f>J14+I15</f>
        <v/>
      </c>
      <c r="K15" s="19">
        <f>K14+J15</f>
        <v/>
      </c>
      <c r="L15" s="19">
        <f>L14+K15</f>
        <v/>
      </c>
      <c r="M15" s="19">
        <f>M14+L15</f>
        <v/>
      </c>
    </row>
    <row r="17">
      <c r="B17" s="2" t="inlineStr">
        <is>
          <t>Peak of the cumulative result</t>
        </is>
      </c>
      <c r="C17" s="13">
        <f>MAX(C15:M15)</f>
        <v/>
      </c>
    </row>
    <row r="18">
      <c r="B18" s="2" t="inlineStr">
        <is>
          <t>Lowest cumulative result</t>
        </is>
      </c>
      <c r="C18" s="13">
        <f>MIN(C15:M15)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G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10" customHeight="1"/>
    <row r="2">
      <c r="B2" s="1" t="inlineStr">
        <is>
          <t>Equalization at the second close (Chapter 14)</t>
        </is>
      </c>
      <c r="C2" s="3" t="n"/>
      <c r="D2" s="3" t="n"/>
      <c r="E2" s="3" t="n"/>
      <c r="F2" s="3" t="n"/>
      <c r="G2" s="3" t="n"/>
    </row>
    <row r="4">
      <c r="B4" s="2" t="inlineStr">
        <is>
          <t>Commitments before the second close</t>
        </is>
      </c>
      <c r="C4" s="13">
        <f>SUM(Inputs!D5:F5)</f>
        <v/>
      </c>
    </row>
    <row r="5">
      <c r="B5" s="2" t="inlineStr">
        <is>
          <t>New commitments at the second close</t>
        </is>
      </c>
      <c r="C5" s="13">
        <f>SUM(Inputs!D6:F6)</f>
        <v/>
      </c>
    </row>
    <row r="6">
      <c r="B6" s="2" t="inlineStr">
        <is>
          <t>Commitments after the second close</t>
        </is>
      </c>
      <c r="C6" s="13">
        <f>C4+C5</f>
        <v/>
      </c>
    </row>
    <row r="7">
      <c r="B7" s="2" t="inlineStr">
        <is>
          <t>Second close date</t>
        </is>
      </c>
      <c r="C7" s="20">
        <f>Inputs!C6</f>
        <v/>
      </c>
    </row>
    <row r="9">
      <c r="B9" s="4" t="inlineStr">
        <is>
          <t>Call (non-fee)</t>
        </is>
      </c>
      <c r="C9" s="4" t="inlineStr">
        <is>
          <t>Date</t>
        </is>
      </c>
      <c r="D9" s="4" t="inlineStr">
        <is>
          <t>Amount</t>
        </is>
      </c>
      <c r="E9" s="4" t="inlineStr">
        <is>
          <t>New investors' share</t>
        </is>
      </c>
      <c r="F9" s="4" t="inlineStr">
        <is>
          <t>Days</t>
        </is>
      </c>
      <c r="G9" s="4" t="inlineStr">
        <is>
          <t>Interest</t>
        </is>
      </c>
    </row>
    <row r="10">
      <c r="B10" s="2">
        <f>Inputs!B86</f>
        <v/>
      </c>
      <c r="C10" s="20">
        <f>Inputs!C86</f>
        <v/>
      </c>
      <c r="D10" s="13">
        <f>Inputs!D86</f>
        <v/>
      </c>
      <c r="E10" s="13">
        <f>D10*$C$5/$C$6</f>
        <v/>
      </c>
      <c r="F10" s="12">
        <f>$C$7-C10</f>
        <v/>
      </c>
      <c r="G10" s="21">
        <f>E10*Inputs!$C$18*F10/365</f>
        <v/>
      </c>
    </row>
    <row r="11">
      <c r="B11" s="2">
        <f>Inputs!B87</f>
        <v/>
      </c>
      <c r="C11" s="20">
        <f>Inputs!C87</f>
        <v/>
      </c>
      <c r="D11" s="13">
        <f>Inputs!D87</f>
        <v/>
      </c>
      <c r="E11" s="13">
        <f>D11*$C$5/$C$6</f>
        <v/>
      </c>
      <c r="F11" s="12">
        <f>$C$7-C11</f>
        <v/>
      </c>
      <c r="G11" s="21">
        <f>E11*Inputs!$C$18*F11/365</f>
        <v/>
      </c>
    </row>
    <row r="12">
      <c r="B12" s="2">
        <f>Inputs!B88</f>
        <v/>
      </c>
      <c r="C12" s="20">
        <f>Inputs!C88</f>
        <v/>
      </c>
      <c r="D12" s="13">
        <f>Inputs!D88</f>
        <v/>
      </c>
      <c r="E12" s="13">
        <f>D12*$C$5/$C$6</f>
        <v/>
      </c>
      <c r="F12" s="12">
        <f>$C$7-C12</f>
        <v/>
      </c>
      <c r="G12" s="21">
        <f>E12*Inputs!$C$18*F12/365</f>
        <v/>
      </c>
    </row>
    <row r="13">
      <c r="B13" s="7" t="inlineStr">
        <is>
          <t>Total</t>
        </is>
      </c>
      <c r="D13" s="8">
        <f>SUM(D10:D12)</f>
        <v/>
      </c>
      <c r="E13" s="8">
        <f>SUM(E10:E12)</f>
        <v/>
      </c>
      <c r="G13" s="22">
        <f>SUM(G10:G12)</f>
        <v/>
      </c>
    </row>
    <row r="15">
      <c r="B15" s="2" t="inlineStr">
        <is>
          <t>Called before the second close, as a share of first-close commitments</t>
        </is>
      </c>
      <c r="C15" s="14">
        <f>D13/C4</f>
        <v/>
      </c>
    </row>
    <row r="16">
      <c r="B16" s="2" t="inlineStr">
        <is>
          <t>Called share after equalization, for every investor</t>
        </is>
      </c>
      <c r="C16" s="14">
        <f>D13/C6</f>
        <v/>
      </c>
    </row>
    <row r="17">
      <c r="B17" s="2" t="inlineStr">
        <is>
          <t>Equalization contribution</t>
        </is>
      </c>
      <c r="C17" s="13">
        <f>C5*C16</f>
        <v/>
      </c>
    </row>
    <row r="18">
      <c r="B18" s="2" t="inlineStr">
        <is>
          <t>Equalization interest</t>
        </is>
      </c>
      <c r="C18" s="13">
        <f>G13</f>
        <v/>
      </c>
    </row>
    <row r="19">
      <c r="B19" s="2" t="inlineStr">
        <is>
          <t>Fee catch-up (to the manager)</t>
        </is>
      </c>
      <c r="C19" s="13">
        <f>C5*Inputs!$C$13*(C7-Inputs!$C$5)/365</f>
        <v/>
      </c>
    </row>
    <row r="20">
      <c r="B20" s="7" t="inlineStr">
        <is>
          <t>Total due from second-close investors</t>
        </is>
      </c>
      <c r="C20" s="8">
        <f>C17+C18+C19</f>
        <v/>
      </c>
    </row>
    <row r="21">
      <c r="B21" s="2" t="inlineStr">
        <is>
          <t>Per $10 million of commitment</t>
        </is>
      </c>
      <c r="C21" s="15">
        <f>C20/C5*10</f>
        <v/>
      </c>
    </row>
    <row r="22">
      <c r="B22" s="2" t="inlineStr">
        <is>
          <t>First-close investors' contributed capital after equalization</t>
        </is>
      </c>
      <c r="C22" s="13">
        <f>D13-C17</f>
        <v/>
      </c>
    </row>
    <row r="24">
      <c r="B24" s="4" t="inlineStr">
        <is>
          <t>Vehicle rebalancing ($ million of the capital called)</t>
        </is>
      </c>
      <c r="C24" s="4" t="inlineStr">
        <is>
          <t>Before</t>
        </is>
      </c>
      <c r="D24" s="4" t="inlineStr">
        <is>
          <t>After</t>
        </is>
      </c>
      <c r="E24" s="4" t="inlineStr">
        <is>
          <t>Change</t>
        </is>
      </c>
      <c r="F24" s="4" t="inlineStr">
        <is>
          <t>Share before</t>
        </is>
      </c>
      <c r="G24" s="4" t="inlineStr">
        <is>
          <t>Share after</t>
        </is>
      </c>
    </row>
    <row r="25">
      <c r="B25" s="2" t="inlineStr">
        <is>
          <t>Delaware fund</t>
        </is>
      </c>
      <c r="C25" s="13">
        <f>$D$13*Inputs!D5/$C$4</f>
        <v/>
      </c>
      <c r="D25" s="13">
        <f>$D$13*(Inputs!D5+Inputs!D6)/$C$6</f>
        <v/>
      </c>
      <c r="E25" s="13">
        <f>D25-C25</f>
        <v/>
      </c>
      <c r="F25" s="14">
        <f>Inputs!D5/$C$4</f>
        <v/>
      </c>
      <c r="G25" s="14">
        <f>(Inputs!D5+Inputs!D6)/$C$6</f>
        <v/>
      </c>
    </row>
    <row r="26">
      <c r="B26" s="2" t="inlineStr">
        <is>
          <t>Cayman feeder</t>
        </is>
      </c>
      <c r="C26" s="13">
        <f>$D$13*Inputs!E5/$C$4</f>
        <v/>
      </c>
      <c r="D26" s="13">
        <f>$D$13*(Inputs!E5+Inputs!E6)/$C$6</f>
        <v/>
      </c>
      <c r="E26" s="13">
        <f>D26-C26</f>
        <v/>
      </c>
      <c r="F26" s="14">
        <f>Inputs!E5/$C$4</f>
        <v/>
      </c>
      <c r="G26" s="14">
        <f>(Inputs!E5+Inputs!E6)/$C$6</f>
        <v/>
      </c>
    </row>
    <row r="27">
      <c r="B27" s="2" t="inlineStr">
        <is>
          <t>Luxembourg SCSp</t>
        </is>
      </c>
      <c r="C27" s="13">
        <f>$D$13*Inputs!F5/$C$4</f>
        <v/>
      </c>
      <c r="D27" s="13">
        <f>$D$13*(Inputs!F5+Inputs!F6)/$C$6</f>
        <v/>
      </c>
      <c r="E27" s="13">
        <f>D27-C27</f>
        <v/>
      </c>
      <c r="F27" s="14">
        <f>Inputs!F5/$C$4</f>
        <v/>
      </c>
      <c r="G27" s="14">
        <f>(Inputs!F5+Inputs!F6)/$C$6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N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</cols>
  <sheetData>
    <row r="1" ht="10" customHeight="1"/>
    <row r="2">
      <c r="B2" s="1" t="inlineStr">
        <is>
          <t>European waterfall, annual, illustrative (Chapter 6)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>
      <c r="B4" s="4" t="inlineStr">
        <is>
          <t>$ million</t>
        </is>
      </c>
      <c r="C4" s="4" t="inlineStr">
        <is>
          <t>2025</t>
        </is>
      </c>
      <c r="D4" s="4" t="inlineStr">
        <is>
          <t>2026</t>
        </is>
      </c>
      <c r="E4" s="4" t="inlineStr">
        <is>
          <t>2027</t>
        </is>
      </c>
      <c r="F4" s="4" t="inlineStr">
        <is>
          <t>2028</t>
        </is>
      </c>
      <c r="G4" s="4" t="inlineStr">
        <is>
          <t>2029</t>
        </is>
      </c>
      <c r="H4" s="4" t="inlineStr">
        <is>
          <t>2030</t>
        </is>
      </c>
      <c r="I4" s="4" t="inlineStr">
        <is>
          <t>2031</t>
        </is>
      </c>
      <c r="J4" s="4" t="inlineStr">
        <is>
          <t>2032</t>
        </is>
      </c>
      <c r="K4" s="4" t="inlineStr">
        <is>
          <t>2033</t>
        </is>
      </c>
      <c r="L4" s="4" t="inlineStr">
        <is>
          <t>2034</t>
        </is>
      </c>
      <c r="M4" s="4" t="inlineStr">
        <is>
          <t>2035</t>
        </is>
      </c>
      <c r="N4" s="4" t="inlineStr">
        <is>
          <t>Total</t>
        </is>
      </c>
    </row>
    <row r="5">
      <c r="B5" s="2" t="inlineStr">
        <is>
          <t>Year</t>
        </is>
      </c>
      <c r="C5" s="12" t="n">
        <v>2025</v>
      </c>
      <c r="D5" s="12" t="n">
        <v>2026</v>
      </c>
      <c r="E5" s="12" t="n">
        <v>2027</v>
      </c>
      <c r="F5" s="12" t="n">
        <v>2028</v>
      </c>
      <c r="G5" s="12" t="n">
        <v>2029</v>
      </c>
      <c r="H5" s="12" t="n">
        <v>2030</v>
      </c>
      <c r="I5" s="12" t="n">
        <v>2031</v>
      </c>
      <c r="J5" s="12" t="n">
        <v>2032</v>
      </c>
      <c r="K5" s="12" t="n">
        <v>2033</v>
      </c>
      <c r="L5" s="12" t="n">
        <v>2034</v>
      </c>
      <c r="M5" s="12" t="n">
        <v>2035</v>
      </c>
    </row>
    <row r="6">
      <c r="B6" s="2" t="inlineStr">
        <is>
          <t>Investments</t>
        </is>
      </c>
      <c r="C6" s="13">
        <f>Inputs!C73</f>
        <v/>
      </c>
      <c r="D6" s="13">
        <f>Inputs!C74</f>
        <v/>
      </c>
      <c r="E6" s="13">
        <f>Inputs!C75</f>
        <v/>
      </c>
      <c r="F6" s="13">
        <f>Inputs!C76</f>
        <v/>
      </c>
      <c r="G6" s="13">
        <f>Inputs!C77</f>
        <v/>
      </c>
      <c r="H6" s="13">
        <f>Inputs!C78</f>
        <v/>
      </c>
      <c r="I6" s="13">
        <f>Inputs!C79</f>
        <v/>
      </c>
      <c r="J6" s="13">
        <f>Inputs!C80</f>
        <v/>
      </c>
      <c r="K6" s="13">
        <f>Inputs!C81</f>
        <v/>
      </c>
      <c r="L6" s="13">
        <f>Inputs!C82</f>
        <v/>
      </c>
      <c r="M6" s="13">
        <f>Inputs!C83</f>
        <v/>
      </c>
      <c r="N6" s="8">
        <f>SUM(C6:M6)</f>
        <v/>
      </c>
    </row>
    <row r="7">
      <c r="B7" s="2" t="inlineStr">
        <is>
          <t>Management fees</t>
        </is>
      </c>
      <c r="C7" s="13">
        <f>Fees!C22</f>
        <v/>
      </c>
      <c r="D7" s="13">
        <f>Fees!D22</f>
        <v/>
      </c>
      <c r="E7" s="13">
        <f>Fees!E22</f>
        <v/>
      </c>
      <c r="F7" s="13">
        <f>Fees!F22</f>
        <v/>
      </c>
      <c r="G7" s="13">
        <f>Fees!G22</f>
        <v/>
      </c>
      <c r="H7" s="13">
        <f>Fees!H22</f>
        <v/>
      </c>
      <c r="I7" s="13">
        <f>Fees!I22</f>
        <v/>
      </c>
      <c r="J7" s="13">
        <f>Fees!J22</f>
        <v/>
      </c>
      <c r="K7" s="13">
        <f>Fees!K22</f>
        <v/>
      </c>
      <c r="L7" s="13">
        <f>Fees!L22</f>
        <v/>
      </c>
      <c r="M7" s="13">
        <f>Fees!M22</f>
        <v/>
      </c>
    </row>
    <row r="8">
      <c r="B8" s="2" t="inlineStr">
        <is>
          <t>Fund expenses</t>
        </is>
      </c>
      <c r="C8" s="13">
        <f>IF(C5=2025,Inputs!$C$24,Inputs!$C$23*(1+Inputs!$C$25)^(C5-2026))</f>
        <v/>
      </c>
      <c r="D8" s="13">
        <f>IF(D5=2025,Inputs!$C$24,Inputs!$C$23*(1+Inputs!$C$25)^(D5-2026))</f>
        <v/>
      </c>
      <c r="E8" s="13">
        <f>IF(E5=2025,Inputs!$C$24,Inputs!$C$23*(1+Inputs!$C$25)^(E5-2026))</f>
        <v/>
      </c>
      <c r="F8" s="13">
        <f>IF(F5=2025,Inputs!$C$24,Inputs!$C$23*(1+Inputs!$C$25)^(F5-2026))</f>
        <v/>
      </c>
      <c r="G8" s="13">
        <f>IF(G5=2025,Inputs!$C$24,Inputs!$C$23*(1+Inputs!$C$25)^(G5-2026))</f>
        <v/>
      </c>
      <c r="H8" s="13">
        <f>IF(H5=2025,Inputs!$C$24,Inputs!$C$23*(1+Inputs!$C$25)^(H5-2026))</f>
        <v/>
      </c>
      <c r="I8" s="13">
        <f>IF(I5=2025,Inputs!$C$24,Inputs!$C$23*(1+Inputs!$C$25)^(I5-2026))</f>
        <v/>
      </c>
      <c r="J8" s="13">
        <f>IF(J5=2025,Inputs!$C$24,Inputs!$C$23*(1+Inputs!$C$25)^(J5-2026))</f>
        <v/>
      </c>
      <c r="K8" s="13">
        <f>IF(K5=2025,Inputs!$C$24,Inputs!$C$23*(1+Inputs!$C$25)^(K5-2026))</f>
        <v/>
      </c>
      <c r="L8" s="13">
        <f>IF(L5=2025,Inputs!$C$24,Inputs!$C$23*(1+Inputs!$C$25)^(L5-2026))</f>
        <v/>
      </c>
      <c r="M8" s="13">
        <f>IF(M5=2025,Inputs!$C$24,Inputs!$C$23*(1+Inputs!$C$25)^(M5-2026))</f>
        <v/>
      </c>
    </row>
    <row r="9">
      <c r="B9" s="2" t="inlineStr">
        <is>
          <t>Organizational expenses</t>
        </is>
      </c>
      <c r="C9" s="13">
        <f>IF(C5=2025,'Launch Budget'!C15,0)</f>
        <v/>
      </c>
      <c r="D9" s="13">
        <f>IF(D5=2025,'Launch Budget'!C15,0)</f>
        <v/>
      </c>
      <c r="E9" s="13">
        <f>IF(E5=2025,'Launch Budget'!C15,0)</f>
        <v/>
      </c>
      <c r="F9" s="13">
        <f>IF(F5=2025,'Launch Budget'!C15,0)</f>
        <v/>
      </c>
      <c r="G9" s="13">
        <f>IF(G5=2025,'Launch Budget'!C15,0)</f>
        <v/>
      </c>
      <c r="H9" s="13">
        <f>IF(H5=2025,'Launch Budget'!C15,0)</f>
        <v/>
      </c>
      <c r="I9" s="13">
        <f>IF(I5=2025,'Launch Budget'!C15,0)</f>
        <v/>
      </c>
      <c r="J9" s="13">
        <f>IF(J5=2025,'Launch Budget'!C15,0)</f>
        <v/>
      </c>
      <c r="K9" s="13">
        <f>IF(K5=2025,'Launch Budget'!C15,0)</f>
        <v/>
      </c>
      <c r="L9" s="13">
        <f>IF(L5=2025,'Launch Budget'!C15,0)</f>
        <v/>
      </c>
      <c r="M9" s="13">
        <f>IF(M5=2025,'Launch Budget'!C15,0)</f>
        <v/>
      </c>
    </row>
    <row r="10">
      <c r="B10" s="2" t="inlineStr">
        <is>
          <t>Contributions (all investors)</t>
        </is>
      </c>
      <c r="C10" s="13">
        <f>SUM(C6:C9)</f>
        <v/>
      </c>
      <c r="D10" s="13">
        <f>SUM(D6:D9)</f>
        <v/>
      </c>
      <c r="E10" s="13">
        <f>SUM(E6:E9)</f>
        <v/>
      </c>
      <c r="F10" s="13">
        <f>SUM(F6:F9)</f>
        <v/>
      </c>
      <c r="G10" s="13">
        <f>SUM(G6:G9)</f>
        <v/>
      </c>
      <c r="H10" s="13">
        <f>SUM(H6:H9)</f>
        <v/>
      </c>
      <c r="I10" s="13">
        <f>SUM(I6:I9)</f>
        <v/>
      </c>
      <c r="J10" s="13">
        <f>SUM(J6:J9)</f>
        <v/>
      </c>
      <c r="K10" s="13">
        <f>SUM(K6:K9)</f>
        <v/>
      </c>
      <c r="L10" s="13">
        <f>SUM(L6:L9)</f>
        <v/>
      </c>
      <c r="M10" s="13">
        <f>SUM(M6:M9)</f>
        <v/>
      </c>
    </row>
    <row r="11">
      <c r="B11" s="2" t="inlineStr">
        <is>
          <t>Gross proceeds</t>
        </is>
      </c>
      <c r="C11" s="13">
        <f>Inputs!D73*Inputs!$C$22</f>
        <v/>
      </c>
      <c r="D11" s="13">
        <f>Inputs!D74*Inputs!$C$22</f>
        <v/>
      </c>
      <c r="E11" s="13">
        <f>Inputs!D75*Inputs!$C$22</f>
        <v/>
      </c>
      <c r="F11" s="13">
        <f>Inputs!D76*Inputs!$C$22</f>
        <v/>
      </c>
      <c r="G11" s="13">
        <f>Inputs!D77*Inputs!$C$22</f>
        <v/>
      </c>
      <c r="H11" s="13">
        <f>Inputs!D78*Inputs!$C$22</f>
        <v/>
      </c>
      <c r="I11" s="13">
        <f>Inputs!D79*Inputs!$C$22</f>
        <v/>
      </c>
      <c r="J11" s="13">
        <f>Inputs!D80*Inputs!$C$22</f>
        <v/>
      </c>
      <c r="K11" s="13">
        <f>Inputs!D81*Inputs!$C$22</f>
        <v/>
      </c>
      <c r="L11" s="13">
        <f>Inputs!D82*Inputs!$C$22</f>
        <v/>
      </c>
      <c r="M11" s="13">
        <f>Inputs!D83*Inputs!$C$22</f>
        <v/>
      </c>
      <c r="N11" s="8">
        <f>SUM(C11:M11)</f>
        <v/>
      </c>
    </row>
    <row r="12">
      <c r="B12" s="2" t="inlineStr">
        <is>
          <t>Carry-bearing share</t>
        </is>
      </c>
      <c r="C12" s="23">
        <f>(Inputs!G8-Inputs!$C$11)/Inputs!G8</f>
        <v/>
      </c>
      <c r="D12" s="23">
        <f>(Inputs!G8-Inputs!$C$11)/Inputs!G8</f>
        <v/>
      </c>
      <c r="E12" s="23">
        <f>(Inputs!G8-Inputs!$C$11)/Inputs!G8</f>
        <v/>
      </c>
      <c r="F12" s="23">
        <f>(Inputs!G8-Inputs!$C$11)/Inputs!G8</f>
        <v/>
      </c>
      <c r="G12" s="23">
        <f>(Inputs!G8-Inputs!$C$11)/Inputs!G8</f>
        <v/>
      </c>
      <c r="H12" s="23">
        <f>(Inputs!G8-Inputs!$C$11)/Inputs!G8</f>
        <v/>
      </c>
      <c r="I12" s="23">
        <f>(Inputs!G8-Inputs!$C$11)/Inputs!G8</f>
        <v/>
      </c>
      <c r="J12" s="23">
        <f>(Inputs!G8-Inputs!$C$11)/Inputs!G8</f>
        <v/>
      </c>
      <c r="K12" s="23">
        <f>(Inputs!G8-Inputs!$C$11)/Inputs!G8</f>
        <v/>
      </c>
      <c r="L12" s="23">
        <f>(Inputs!G8-Inputs!$C$11)/Inputs!G8</f>
        <v/>
      </c>
      <c r="M12" s="23">
        <f>(Inputs!G8-Inputs!$C$11)/Inputs!G8</f>
        <v/>
      </c>
    </row>
    <row r="13">
      <c r="B13" s="2" t="inlineStr">
        <is>
          <t>Contributions, carry-bearing</t>
        </is>
      </c>
      <c r="C13" s="13">
        <f>C10*C12</f>
        <v/>
      </c>
      <c r="D13" s="13">
        <f>D10*D12</f>
        <v/>
      </c>
      <c r="E13" s="13">
        <f>E10*E12</f>
        <v/>
      </c>
      <c r="F13" s="13">
        <f>F10*F12</f>
        <v/>
      </c>
      <c r="G13" s="13">
        <f>G10*G12</f>
        <v/>
      </c>
      <c r="H13" s="13">
        <f>H10*H12</f>
        <v/>
      </c>
      <c r="I13" s="13">
        <f>I10*I12</f>
        <v/>
      </c>
      <c r="J13" s="13">
        <f>J10*J12</f>
        <v/>
      </c>
      <c r="K13" s="13">
        <f>K10*K12</f>
        <v/>
      </c>
      <c r="L13" s="13">
        <f>L10*L12</f>
        <v/>
      </c>
      <c r="M13" s="13">
        <f>M10*M12</f>
        <v/>
      </c>
      <c r="N13" s="8">
        <f>SUM(C13:M13)</f>
        <v/>
      </c>
    </row>
    <row r="14">
      <c r="B14" s="2" t="inlineStr">
        <is>
          <t>Proceeds, carry-bearing</t>
        </is>
      </c>
      <c r="C14" s="13">
        <f>C11*C12</f>
        <v/>
      </c>
      <c r="D14" s="13">
        <f>D11*D12</f>
        <v/>
      </c>
      <c r="E14" s="13">
        <f>E11*E12</f>
        <v/>
      </c>
      <c r="F14" s="13">
        <f>F11*F12</f>
        <v/>
      </c>
      <c r="G14" s="13">
        <f>G11*G12</f>
        <v/>
      </c>
      <c r="H14" s="13">
        <f>H11*H12</f>
        <v/>
      </c>
      <c r="I14" s="13">
        <f>I11*I12</f>
        <v/>
      </c>
      <c r="J14" s="13">
        <f>J11*J12</f>
        <v/>
      </c>
      <c r="K14" s="13">
        <f>K11*K12</f>
        <v/>
      </c>
      <c r="L14" s="13">
        <f>L11*L12</f>
        <v/>
      </c>
      <c r="M14" s="13">
        <f>M11*M12</f>
        <v/>
      </c>
      <c r="N14" s="8">
        <f>SUM(C14:M14)</f>
        <v/>
      </c>
    </row>
    <row r="15">
      <c r="B15" s="2" t="inlineStr">
        <is>
          <t>Preferred return accrued (end of year)</t>
        </is>
      </c>
      <c r="C15" s="13">
        <f>0*(1+Inputs!$C$20)+0*Inputs!$C$20</f>
        <v/>
      </c>
      <c r="D15" s="13">
        <f>C24*(1+Inputs!$C$20)+C25*Inputs!$C$20</f>
        <v/>
      </c>
      <c r="E15" s="13">
        <f>D24*(1+Inputs!$C$20)+D25*Inputs!$C$20</f>
        <v/>
      </c>
      <c r="F15" s="13">
        <f>E24*(1+Inputs!$C$20)+E25*Inputs!$C$20</f>
        <v/>
      </c>
      <c r="G15" s="13">
        <f>F24*(1+Inputs!$C$20)+F25*Inputs!$C$20</f>
        <v/>
      </c>
      <c r="H15" s="13">
        <f>G24*(1+Inputs!$C$20)+G25*Inputs!$C$20</f>
        <v/>
      </c>
      <c r="I15" s="13">
        <f>H24*(1+Inputs!$C$20)+H25*Inputs!$C$20</f>
        <v/>
      </c>
      <c r="J15" s="13">
        <f>I24*(1+Inputs!$C$20)+I25*Inputs!$C$20</f>
        <v/>
      </c>
      <c r="K15" s="13">
        <f>J24*(1+Inputs!$C$20)+J25*Inputs!$C$20</f>
        <v/>
      </c>
      <c r="L15" s="13">
        <f>K24*(1+Inputs!$C$20)+K25*Inputs!$C$20</f>
        <v/>
      </c>
      <c r="M15" s="13">
        <f>L24*(1+Inputs!$C$20)+L25*Inputs!$C$20</f>
        <v/>
      </c>
    </row>
    <row r="16">
      <c r="B16" s="2" t="inlineStr">
        <is>
          <t>Unreturned capital after contributions</t>
        </is>
      </c>
      <c r="C16" s="13">
        <f>0+C13</f>
        <v/>
      </c>
      <c r="D16" s="13">
        <f>C25+D13</f>
        <v/>
      </c>
      <c r="E16" s="13">
        <f>D25+E13</f>
        <v/>
      </c>
      <c r="F16" s="13">
        <f>E25+F13</f>
        <v/>
      </c>
      <c r="G16" s="13">
        <f>F25+G13</f>
        <v/>
      </c>
      <c r="H16" s="13">
        <f>G25+H13</f>
        <v/>
      </c>
      <c r="I16" s="13">
        <f>H25+I13</f>
        <v/>
      </c>
      <c r="J16" s="13">
        <f>I25+J13</f>
        <v/>
      </c>
      <c r="K16" s="13">
        <f>J25+K13</f>
        <v/>
      </c>
      <c r="L16" s="13">
        <f>K25+L13</f>
        <v/>
      </c>
      <c r="M16" s="13">
        <f>L25+M13</f>
        <v/>
      </c>
    </row>
    <row r="17">
      <c r="B17" s="2" t="inlineStr">
        <is>
          <t>Return of capital</t>
        </is>
      </c>
      <c r="C17" s="13">
        <f>MIN(C14,C16)</f>
        <v/>
      </c>
      <c r="D17" s="13">
        <f>MIN(D14,D16)</f>
        <v/>
      </c>
      <c r="E17" s="13">
        <f>MIN(E14,E16)</f>
        <v/>
      </c>
      <c r="F17" s="13">
        <f>MIN(F14,F16)</f>
        <v/>
      </c>
      <c r="G17" s="13">
        <f>MIN(G14,G16)</f>
        <v/>
      </c>
      <c r="H17" s="13">
        <f>MIN(H14,H16)</f>
        <v/>
      </c>
      <c r="I17" s="13">
        <f>MIN(I14,I16)</f>
        <v/>
      </c>
      <c r="J17" s="13">
        <f>MIN(J14,J16)</f>
        <v/>
      </c>
      <c r="K17" s="13">
        <f>MIN(K14,K16)</f>
        <v/>
      </c>
      <c r="L17" s="13">
        <f>MIN(L14,L16)</f>
        <v/>
      </c>
      <c r="M17" s="13">
        <f>MIN(M14,M16)</f>
        <v/>
      </c>
    </row>
    <row r="18">
      <c r="B18" s="2" t="inlineStr">
        <is>
          <t>Preferred return paid</t>
        </is>
      </c>
      <c r="C18" s="13">
        <f>MIN(C14-C17,C15)</f>
        <v/>
      </c>
      <c r="D18" s="13">
        <f>MIN(D14-D17,D15)</f>
        <v/>
      </c>
      <c r="E18" s="13">
        <f>MIN(E14-E17,E15)</f>
        <v/>
      </c>
      <c r="F18" s="13">
        <f>MIN(F14-F17,F15)</f>
        <v/>
      </c>
      <c r="G18" s="13">
        <f>MIN(G14-G17,G15)</f>
        <v/>
      </c>
      <c r="H18" s="13">
        <f>MIN(H14-H17,H15)</f>
        <v/>
      </c>
      <c r="I18" s="13">
        <f>MIN(I14-I17,I15)</f>
        <v/>
      </c>
      <c r="J18" s="13">
        <f>MIN(J14-J17,J15)</f>
        <v/>
      </c>
      <c r="K18" s="13">
        <f>MIN(K14-K17,K15)</f>
        <v/>
      </c>
      <c r="L18" s="13">
        <f>MIN(L14-L17,L15)</f>
        <v/>
      </c>
      <c r="M18" s="13">
        <f>MIN(M14-M17,M15)</f>
        <v/>
      </c>
    </row>
    <row r="19">
      <c r="B19" s="2" t="inlineStr">
        <is>
          <t>Catch-up to the GP</t>
        </is>
      </c>
      <c r="C19" s="13">
        <f>MIN(C14-C17-C18,MAX(0,Inputs!$C$21/(1-Inputs!$C$21)*(0+C18)-0))</f>
        <v/>
      </c>
      <c r="D19" s="13">
        <f>MIN(D14-D17-D18,MAX(0,Inputs!$C$21/(1-Inputs!$C$21)*(C26+D18)-C27))</f>
        <v/>
      </c>
      <c r="E19" s="13">
        <f>MIN(E14-E17-E18,MAX(0,Inputs!$C$21/(1-Inputs!$C$21)*(D26+E18)-D27))</f>
        <v/>
      </c>
      <c r="F19" s="13">
        <f>MIN(F14-F17-F18,MAX(0,Inputs!$C$21/(1-Inputs!$C$21)*(E26+F18)-E27))</f>
        <v/>
      </c>
      <c r="G19" s="13">
        <f>MIN(G14-G17-G18,MAX(0,Inputs!$C$21/(1-Inputs!$C$21)*(F26+G18)-F27))</f>
        <v/>
      </c>
      <c r="H19" s="13">
        <f>MIN(H14-H17-H18,MAX(0,Inputs!$C$21/(1-Inputs!$C$21)*(G26+H18)-G27))</f>
        <v/>
      </c>
      <c r="I19" s="13">
        <f>MIN(I14-I17-I18,MAX(0,Inputs!$C$21/(1-Inputs!$C$21)*(H26+I18)-H27))</f>
        <v/>
      </c>
      <c r="J19" s="13">
        <f>MIN(J14-J17-J18,MAX(0,Inputs!$C$21/(1-Inputs!$C$21)*(I26+J18)-I27))</f>
        <v/>
      </c>
      <c r="K19" s="13">
        <f>MIN(K14-K17-K18,MAX(0,Inputs!$C$21/(1-Inputs!$C$21)*(J26+K18)-J27))</f>
        <v/>
      </c>
      <c r="L19" s="13">
        <f>MIN(L14-L17-L18,MAX(0,Inputs!$C$21/(1-Inputs!$C$21)*(K26+L18)-K27))</f>
        <v/>
      </c>
      <c r="M19" s="13">
        <f>MIN(M14-M17-M18,MAX(0,Inputs!$C$21/(1-Inputs!$C$21)*(L26+M18)-L27))</f>
        <v/>
      </c>
    </row>
    <row r="20">
      <c r="B20" s="2" t="inlineStr">
        <is>
          <t>80 / 20 split, to investors</t>
        </is>
      </c>
      <c r="C20" s="13">
        <f>(C14-C17-C18-C19)*(1-Inputs!$C$21)</f>
        <v/>
      </c>
      <c r="D20" s="13">
        <f>(D14-D17-D18-D19)*(1-Inputs!$C$21)</f>
        <v/>
      </c>
      <c r="E20" s="13">
        <f>(E14-E17-E18-E19)*(1-Inputs!$C$21)</f>
        <v/>
      </c>
      <c r="F20" s="13">
        <f>(F14-F17-F18-F19)*(1-Inputs!$C$21)</f>
        <v/>
      </c>
      <c r="G20" s="13">
        <f>(G14-G17-G18-G19)*(1-Inputs!$C$21)</f>
        <v/>
      </c>
      <c r="H20" s="13">
        <f>(H14-H17-H18-H19)*(1-Inputs!$C$21)</f>
        <v/>
      </c>
      <c r="I20" s="13">
        <f>(I14-I17-I18-I19)*(1-Inputs!$C$21)</f>
        <v/>
      </c>
      <c r="J20" s="13">
        <f>(J14-J17-J18-J19)*(1-Inputs!$C$21)</f>
        <v/>
      </c>
      <c r="K20" s="13">
        <f>(K14-K17-K18-K19)*(1-Inputs!$C$21)</f>
        <v/>
      </c>
      <c r="L20" s="13">
        <f>(L14-L17-L18-L19)*(1-Inputs!$C$21)</f>
        <v/>
      </c>
      <c r="M20" s="13">
        <f>(M14-M17-M18-M19)*(1-Inputs!$C$21)</f>
        <v/>
      </c>
    </row>
    <row r="21">
      <c r="B21" s="2" t="inlineStr">
        <is>
          <t>80 / 20 split, to the GP</t>
        </is>
      </c>
      <c r="C21" s="13">
        <f>(C14-C17-C18-C19)*Inputs!$C$21</f>
        <v/>
      </c>
      <c r="D21" s="13">
        <f>(D14-D17-D18-D19)*Inputs!$C$21</f>
        <v/>
      </c>
      <c r="E21" s="13">
        <f>(E14-E17-E18-E19)*Inputs!$C$21</f>
        <v/>
      </c>
      <c r="F21" s="13">
        <f>(F14-F17-F18-F19)*Inputs!$C$21</f>
        <v/>
      </c>
      <c r="G21" s="13">
        <f>(G14-G17-G18-G19)*Inputs!$C$21</f>
        <v/>
      </c>
      <c r="H21" s="13">
        <f>(H14-H17-H18-H19)*Inputs!$C$21</f>
        <v/>
      </c>
      <c r="I21" s="13">
        <f>(I14-I17-I18-I19)*Inputs!$C$21</f>
        <v/>
      </c>
      <c r="J21" s="13">
        <f>(J14-J17-J18-J19)*Inputs!$C$21</f>
        <v/>
      </c>
      <c r="K21" s="13">
        <f>(K14-K17-K18-K19)*Inputs!$C$21</f>
        <v/>
      </c>
      <c r="L21" s="13">
        <f>(L14-L17-L18-L19)*Inputs!$C$21</f>
        <v/>
      </c>
      <c r="M21" s="13">
        <f>(M14-M17-M18-M19)*Inputs!$C$21</f>
        <v/>
      </c>
    </row>
    <row r="22">
      <c r="B22" s="18" t="inlineStr">
        <is>
          <t>Distributed to investors</t>
        </is>
      </c>
      <c r="C22" s="19">
        <f>C17+C18+C20</f>
        <v/>
      </c>
      <c r="D22" s="19">
        <f>D17+D18+D20</f>
        <v/>
      </c>
      <c r="E22" s="19">
        <f>E17+E18+E20</f>
        <v/>
      </c>
      <c r="F22" s="19">
        <f>F17+F18+F20</f>
        <v/>
      </c>
      <c r="G22" s="19">
        <f>G17+G18+G20</f>
        <v/>
      </c>
      <c r="H22" s="19">
        <f>H17+H18+H20</f>
        <v/>
      </c>
      <c r="I22" s="19">
        <f>I17+I18+I20</f>
        <v/>
      </c>
      <c r="J22" s="19">
        <f>J17+J18+J20</f>
        <v/>
      </c>
      <c r="K22" s="19">
        <f>K17+K18+K20</f>
        <v/>
      </c>
      <c r="L22" s="19">
        <f>L17+L18+L20</f>
        <v/>
      </c>
      <c r="M22" s="19">
        <f>M17+M18+M20</f>
        <v/>
      </c>
      <c r="N22" s="8">
        <f>SUM(C22:M22)</f>
        <v/>
      </c>
    </row>
    <row r="23">
      <c r="B23" s="18" t="inlineStr">
        <is>
          <t>Carry to the GP</t>
        </is>
      </c>
      <c r="C23" s="19">
        <f>C19+C21</f>
        <v/>
      </c>
      <c r="D23" s="19">
        <f>D19+D21</f>
        <v/>
      </c>
      <c r="E23" s="19">
        <f>E19+E21</f>
        <v/>
      </c>
      <c r="F23" s="19">
        <f>F19+F21</f>
        <v/>
      </c>
      <c r="G23" s="19">
        <f>G19+G21</f>
        <v/>
      </c>
      <c r="H23" s="19">
        <f>H19+H21</f>
        <v/>
      </c>
      <c r="I23" s="19">
        <f>I19+I21</f>
        <v/>
      </c>
      <c r="J23" s="19">
        <f>J19+J21</f>
        <v/>
      </c>
      <c r="K23" s="19">
        <f>K19+K21</f>
        <v/>
      </c>
      <c r="L23" s="19">
        <f>L19+L21</f>
        <v/>
      </c>
      <c r="M23" s="19">
        <f>M19+M21</f>
        <v/>
      </c>
      <c r="N23" s="8">
        <f>SUM(C23:M23)</f>
        <v/>
      </c>
    </row>
    <row r="24">
      <c r="B24" s="2" t="inlineStr">
        <is>
          <t>Pref balance after</t>
        </is>
      </c>
      <c r="C24" s="13">
        <f>C15-C18</f>
        <v/>
      </c>
      <c r="D24" s="13">
        <f>D15-D18</f>
        <v/>
      </c>
      <c r="E24" s="13">
        <f>E15-E18</f>
        <v/>
      </c>
      <c r="F24" s="13">
        <f>F15-F18</f>
        <v/>
      </c>
      <c r="G24" s="13">
        <f>G15-G18</f>
        <v/>
      </c>
      <c r="H24" s="13">
        <f>H15-H18</f>
        <v/>
      </c>
      <c r="I24" s="13">
        <f>I15-I18</f>
        <v/>
      </c>
      <c r="J24" s="13">
        <f>J15-J18</f>
        <v/>
      </c>
      <c r="K24" s="13">
        <f>K15-K18</f>
        <v/>
      </c>
      <c r="L24" s="13">
        <f>L15-L18</f>
        <v/>
      </c>
      <c r="M24" s="13">
        <f>M15-M18</f>
        <v/>
      </c>
    </row>
    <row r="25">
      <c r="B25" s="2" t="inlineStr">
        <is>
          <t>Unreturned capital after</t>
        </is>
      </c>
      <c r="C25" s="13">
        <f>C16-C17</f>
        <v/>
      </c>
      <c r="D25" s="13">
        <f>D16-D17</f>
        <v/>
      </c>
      <c r="E25" s="13">
        <f>E16-E17</f>
        <v/>
      </c>
      <c r="F25" s="13">
        <f>F16-F17</f>
        <v/>
      </c>
      <c r="G25" s="13">
        <f>G16-G17</f>
        <v/>
      </c>
      <c r="H25" s="13">
        <f>H16-H17</f>
        <v/>
      </c>
      <c r="I25" s="13">
        <f>I16-I17</f>
        <v/>
      </c>
      <c r="J25" s="13">
        <f>J16-J17</f>
        <v/>
      </c>
      <c r="K25" s="13">
        <f>K16-K17</f>
        <v/>
      </c>
      <c r="L25" s="13">
        <f>L16-L17</f>
        <v/>
      </c>
      <c r="M25" s="13">
        <f>M16-M17</f>
        <v/>
      </c>
    </row>
    <row r="26">
      <c r="B26" s="2" t="inlineStr">
        <is>
          <t>Cumulative investor profit paid</t>
        </is>
      </c>
      <c r="C26" s="13">
        <f>0+C18+C20</f>
        <v/>
      </c>
      <c r="D26" s="13">
        <f>C26+D18+D20</f>
        <v/>
      </c>
      <c r="E26" s="13">
        <f>D26+E18+E20</f>
        <v/>
      </c>
      <c r="F26" s="13">
        <f>E26+F18+F20</f>
        <v/>
      </c>
      <c r="G26" s="13">
        <f>F26+G18+G20</f>
        <v/>
      </c>
      <c r="H26" s="13">
        <f>G26+H18+H20</f>
        <v/>
      </c>
      <c r="I26" s="13">
        <f>H26+I18+I20</f>
        <v/>
      </c>
      <c r="J26" s="13">
        <f>I26+J18+J20</f>
        <v/>
      </c>
      <c r="K26" s="13">
        <f>J26+K18+K20</f>
        <v/>
      </c>
      <c r="L26" s="13">
        <f>K26+L18+L20</f>
        <v/>
      </c>
      <c r="M26" s="13">
        <f>L26+M18+M20</f>
        <v/>
      </c>
    </row>
    <row r="27">
      <c r="B27" s="2" t="inlineStr">
        <is>
          <t>Cumulative carry</t>
        </is>
      </c>
      <c r="C27" s="13">
        <f>0+C23</f>
        <v/>
      </c>
      <c r="D27" s="13">
        <f>C27+D23</f>
        <v/>
      </c>
      <c r="E27" s="13">
        <f>D27+E23</f>
        <v/>
      </c>
      <c r="F27" s="13">
        <f>E27+F23</f>
        <v/>
      </c>
      <c r="G27" s="13">
        <f>F27+G23</f>
        <v/>
      </c>
      <c r="H27" s="13">
        <f>G27+H23</f>
        <v/>
      </c>
      <c r="I27" s="13">
        <f>H27+I23</f>
        <v/>
      </c>
      <c r="J27" s="13">
        <f>I27+J23</f>
        <v/>
      </c>
      <c r="K27" s="13">
        <f>J27+K23</f>
        <v/>
      </c>
      <c r="L27" s="13">
        <f>K27+L23</f>
        <v/>
      </c>
      <c r="M27" s="13">
        <f>L27+M23</f>
        <v/>
      </c>
    </row>
    <row r="28">
      <c r="B28" s="2" t="inlineStr">
        <is>
          <t>Net cash flow to investors</t>
        </is>
      </c>
      <c r="C28" s="13">
        <f>C22-C13</f>
        <v/>
      </c>
      <c r="D28" s="13">
        <f>D22-D13</f>
        <v/>
      </c>
      <c r="E28" s="13">
        <f>E22-E13</f>
        <v/>
      </c>
      <c r="F28" s="13">
        <f>F22-F13</f>
        <v/>
      </c>
      <c r="G28" s="13">
        <f>G22-G13</f>
        <v/>
      </c>
      <c r="H28" s="13">
        <f>H22-H13</f>
        <v/>
      </c>
      <c r="I28" s="13">
        <f>I22-I13</f>
        <v/>
      </c>
      <c r="J28" s="13">
        <f>J22-J13</f>
        <v/>
      </c>
      <c r="K28" s="13">
        <f>K22-K13</f>
        <v/>
      </c>
      <c r="L28" s="13">
        <f>L22-L13</f>
        <v/>
      </c>
      <c r="M28" s="13">
        <f>M22-M13</f>
        <v/>
      </c>
    </row>
    <row r="30">
      <c r="B30" s="2" t="inlineStr">
        <is>
          <t>Net multiple to investors</t>
        </is>
      </c>
      <c r="C30" s="24">
        <f>N22/N13</f>
        <v/>
      </c>
    </row>
    <row r="31">
      <c r="B31" s="2" t="inlineStr">
        <is>
          <t>Net IRR to investors (annual flows)</t>
        </is>
      </c>
      <c r="C31" s="25">
        <f>IRR(C28:M28)</f>
        <v/>
      </c>
    </row>
    <row r="32">
      <c r="B32" s="2" t="inlineStr">
        <is>
          <t>Total carry</t>
        </is>
      </c>
      <c r="C32" s="13">
        <f>N23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E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4" customWidth="1" min="2" max="2"/>
    <col width="14" customWidth="1" min="3" max="3"/>
    <col width="14" customWidth="1" min="4" max="4"/>
    <col width="10" customWidth="1" min="5" max="5"/>
  </cols>
  <sheetData>
    <row r="1" ht="10" customHeight="1"/>
    <row r="2">
      <c r="B2" s="1" t="inlineStr">
        <is>
          <t>Checks: figures printed in the book against the formulas</t>
        </is>
      </c>
      <c r="C2" s="3" t="n"/>
      <c r="D2" s="3" t="n"/>
      <c r="E2" s="3" t="n"/>
    </row>
    <row r="4">
      <c r="B4" s="4" t="inlineStr">
        <is>
          <t>Figure in the book</t>
        </is>
      </c>
      <c r="C4" s="4" t="inlineStr">
        <is>
          <t>Book</t>
        </is>
      </c>
      <c r="D4" s="4" t="inlineStr">
        <is>
          <t>Workbook</t>
        </is>
      </c>
      <c r="E4" s="4" t="inlineStr">
        <is>
          <t>OK?</t>
        </is>
      </c>
    </row>
    <row r="5">
      <c r="B5" s="2" t="inlineStr">
        <is>
          <t>Final size ($m)</t>
        </is>
      </c>
      <c r="C5" s="23" t="n">
        <v>420</v>
      </c>
      <c r="D5" s="23">
        <f>Inputs!G8</f>
        <v/>
      </c>
      <c r="E5" s="2">
        <f>IF(ABS(D5-C5)&lt;=0.5,"OK","CHECK")</f>
        <v/>
      </c>
    </row>
    <row r="6">
      <c r="B6" s="2" t="inlineStr">
        <is>
          <t>Annual fee in the investment period ($m)</t>
        </is>
      </c>
      <c r="C6" s="23" t="n">
        <v>8.039999999999999</v>
      </c>
      <c r="D6" s="23">
        <f>Fees!E8</f>
        <v/>
      </c>
      <c r="E6" s="2">
        <f>IF(ABS(D6-C6)&lt;=0.005,"OK","CHECK")</f>
        <v/>
      </c>
    </row>
    <row r="7">
      <c r="B7" s="2" t="inlineStr">
        <is>
          <t>Organizational expenses incurred ($m)</t>
        </is>
      </c>
      <c r="C7" s="23" t="n">
        <v>2.06</v>
      </c>
      <c r="D7" s="23">
        <f>'Launch Budget'!C14</f>
        <v/>
      </c>
      <c r="E7" s="2">
        <f>IF(ABS(D7-C7)&lt;=0.005,"OK","CHECK")</f>
        <v/>
      </c>
    </row>
    <row r="8">
      <c r="B8" s="2" t="inlineStr">
        <is>
          <t>Excess borne by the manager ($m)</t>
        </is>
      </c>
      <c r="C8" s="23" t="n">
        <v>0.31</v>
      </c>
      <c r="D8" s="23">
        <f>'Launch Budget'!C16</f>
        <v/>
      </c>
      <c r="E8" s="2">
        <f>IF(ABS(D8-C8)&lt;=0.005,"OK","CHECK")</f>
        <v/>
      </c>
    </row>
    <row r="9">
      <c r="B9" s="2" t="inlineStr">
        <is>
          <t>Equalization contribution at the second close ($m)</t>
        </is>
      </c>
      <c r="C9" s="23" t="n">
        <v>17.32</v>
      </c>
      <c r="D9" s="23">
        <f>Equalization!C17</f>
        <v/>
      </c>
      <c r="E9" s="2">
        <f>IF(ABS(D9-C9)&lt;=0.005,"OK","CHECK")</f>
        <v/>
      </c>
    </row>
    <row r="10">
      <c r="B10" s="2" t="inlineStr">
        <is>
          <t>Equalization interest ($m)</t>
        </is>
      </c>
      <c r="C10" s="23" t="n">
        <v>0.3</v>
      </c>
      <c r="D10" s="23">
        <f>Equalization!C18</f>
        <v/>
      </c>
      <c r="E10" s="2">
        <f>IF(ABS(D10-C10)&lt;=0.005,"OK","CHECK")</f>
        <v/>
      </c>
    </row>
    <row r="11">
      <c r="B11" s="2" t="inlineStr">
        <is>
          <t>Fee catch-up ($m)</t>
        </is>
      </c>
      <c r="C11" s="23" t="n">
        <v>1</v>
      </c>
      <c r="D11" s="23">
        <f>Equalization!C19</f>
        <v/>
      </c>
      <c r="E11" s="2">
        <f>IF(ABS(D11-C11)&lt;=0.005,"OK","CHECK")</f>
        <v/>
      </c>
    </row>
    <row r="12">
      <c r="B12" s="2" t="inlineStr">
        <is>
          <t>Total due from second-close investors ($m)</t>
        </is>
      </c>
      <c r="C12" s="23" t="n">
        <v>18.62</v>
      </c>
      <c r="D12" s="23">
        <f>Equalization!C20</f>
        <v/>
      </c>
      <c r="E12" s="2">
        <f>IF(ABS(D12-C12)&lt;=0.005,"OK","CHECK")</f>
        <v/>
      </c>
    </row>
    <row r="13">
      <c r="B13" s="2" t="inlineStr">
        <is>
          <t>Called share after equalization</t>
        </is>
      </c>
      <c r="C13" s="23" t="n">
        <v>0.1732</v>
      </c>
      <c r="D13" s="23">
        <f>Equalization!C16</f>
        <v/>
      </c>
      <c r="E13" s="2">
        <f>IF(ABS(D13-C13)&lt;=5e-05,"OK","CHECK")</f>
        <v/>
      </c>
    </row>
    <row r="14">
      <c r="B14" s="2" t="inlineStr">
        <is>
          <t>Luxembourg SCSp after rebalancing ($m)</t>
        </is>
      </c>
      <c r="C14" s="23" t="n">
        <v>11.26</v>
      </c>
      <c r="D14" s="23">
        <f>Equalization!D27</f>
        <v/>
      </c>
      <c r="E14" s="2">
        <f>IF(ABS(D14-C14)&lt;=0.005,"OK","CHECK")</f>
        <v/>
      </c>
    </row>
    <row r="15">
      <c r="B15" s="2" t="inlineStr">
        <is>
          <t>Manager's fee received 2026 ($m)</t>
        </is>
      </c>
      <c r="C15" s="23" t="n">
        <v>8.859999999999999</v>
      </c>
      <c r="D15" s="23">
        <f>Fees!D22</f>
        <v/>
      </c>
      <c r="E15" s="2">
        <f>IF(ABS(D15-C15)&lt;=0.005,"OK","CHECK")</f>
        <v/>
      </c>
    </row>
    <row r="16">
      <c r="B16" s="2" t="inlineStr">
        <is>
          <t>Manager's result 2025 ($m)</t>
        </is>
      </c>
      <c r="C16" s="23" t="n">
        <v>-2.14</v>
      </c>
      <c r="D16" s="23">
        <f>'Manco P&amp;L'!C14</f>
        <v/>
      </c>
      <c r="E16" s="2">
        <f>IF(ABS(D16-C16)&lt;=0.005,"OK","CHECK")</f>
        <v/>
      </c>
    </row>
    <row r="17">
      <c r="B17" s="2" t="inlineStr">
        <is>
          <t>Manager's cumulative result, end 2030 ($m)</t>
        </is>
      </c>
      <c r="C17" s="23" t="n">
        <v>11.46</v>
      </c>
      <c r="D17" s="23">
        <f>'Manco P&amp;L'!H15</f>
        <v/>
      </c>
      <c r="E17" s="2">
        <f>IF(ABS(D17-C17)&lt;=0.005,"OK","CHECK")</f>
        <v/>
      </c>
    </row>
    <row r="18">
      <c r="B18" s="2" t="inlineStr">
        <is>
          <t>Manager's cumulative result, end 2035, Fund I only ($m)</t>
        </is>
      </c>
      <c r="C18" s="23" t="n">
        <v>-6.26</v>
      </c>
      <c r="D18" s="23">
        <f>'Manco P&amp;L'!M15</f>
        <v/>
      </c>
      <c r="E18" s="2">
        <f>IF(ABS(D18-C18)&lt;=0.005,"OK","CHECK")</f>
        <v/>
      </c>
    </row>
    <row r="19">
      <c r="B19" s="2" t="inlineStr">
        <is>
          <t>Total carry ($m)</t>
        </is>
      </c>
      <c r="C19" s="23" t="n">
        <v>89.90000000000001</v>
      </c>
      <c r="D19" s="23">
        <f>'Waterfall Summary'!C32</f>
        <v/>
      </c>
      <c r="E19" s="2">
        <f>IF(ABS(D19-C19)&lt;=0.05,"OK","CHECK")</f>
        <v/>
      </c>
    </row>
    <row r="20">
      <c r="B20" s="2" t="inlineStr">
        <is>
          <t>Net multiple to investors</t>
        </is>
      </c>
      <c r="C20" s="23" t="n">
        <v>1.84</v>
      </c>
      <c r="D20" s="23">
        <f>'Waterfall Summary'!C30</f>
        <v/>
      </c>
      <c r="E20" s="2">
        <f>IF(ABS(D20-C20)&lt;=0.005,"OK","CHECK")</f>
        <v/>
      </c>
    </row>
    <row r="22">
      <c r="B22" s="7" t="inlineStr">
        <is>
          <t>Result</t>
        </is>
      </c>
      <c r="D22" s="7">
        <f>IF(COUNTIF(E5:E20,"OK")=16,"ALL CHECKS OK","SOME CHECKS FAIL")</f>
        <v/>
      </c>
    </row>
    <row r="23">
      <c r="B23" s="2" t="inlineStr">
        <is>
          <t>The Fund I only checks hold with the Fund II switch at 0 on the Inputs sheet.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2026-10-10T01:53:51Z</dcterms:created>
  <dcterms:modified xmlns:dcterms="http://purl.org/dc/terms/" xmlns:xsi="http://www.w3.org/2001/XMLSchema-instance" xsi:type="dcterms:W3CDTF">2026-10-10T01:53:51Z</dcterms:modified>
</cp:coreProperties>
</file>