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Inputs" sheetId="2" state="visible" r:id="rId4"/>
    <sheet name="2. The Fund" sheetId="3" state="visible" r:id="rId5"/>
    <sheet name="3. The Pro Rata Cheque" sheetId="4" state="visible" r:id="rId6"/>
    <sheet name="4. Defended or Not" sheetId="5" state="visible" r:id="rId7"/>
    <sheet name="5. Where Defending Loses" sheetId="6" state="visible" r:id="rId8"/>
    <sheet name="6. Reserves or Picking Winners" sheetId="7" state="visible" r:id="rId9"/>
    <sheet name="7. 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<sst xmlns="http://schemas.openxmlformats.org/spreadsheetml/2006/main" count="222" uniqueCount="198">
  <si>
    <t xml:space="preserve">What Defending Your Ownership Actually Costs</t>
  </si>
  <si>
    <t xml:space="preserve">A companion to Appendix C, and to Chapter 12</t>
  </si>
  <si>
    <t xml:space="preserve">Chapter 12 calls reserves "the most underappreciated lever in growth-equity portfolio construction" and "a core strategic instrument". It then answers the question a reader actually has — how much do I need, and what does using it cost me — in four sentences that resolve to "be deliberate and consistent". The chapter contains no arithmetic at all: in three thousand words there is not one figure in digits.</t>
  </si>
  <si>
    <t xml:space="preserve">It does, however, commit to seven numbers in words: fifteen to twenty positions, a double-digit ownership stake, reserves at an equal amount alongside every initial dollar, two follow-on rounds, an eighteen-month deployment, losing half your money, a hundred-times winner. This file runs those numbers. Every input is a cell you can overwrite.</t>
  </si>
  <si>
    <t xml:space="preserve">The four things the arithmetic says</t>
  </si>
  <si>
    <t xml:space="preserve">One. The chapter says exercising pro rata costs "often more than the original check, because the company is now more valuable". On its own parameters it costs half the original check in the first round and three quarters in the second. The explanation is the wrong half of the identity: a pro rata cheque is your ownership times the round SIZE, and round size is dilution times valuation. As companies get more valuable they sell less, and the two effects largely cancel. Sheet 3 tabulates the step-up you would need before the chapter's sentence becomes true — at a 20 per cent round, five times.</t>
  </si>
  <si>
    <t xml:space="preserve">Two. A 1:1 reserve is too tight for the name that wins and far too loose for the fund. Defending one winner through two rounds costs 1.25 times its initial check, so the reserve does not stretch to the "lean in" the chapter promises in the same sentence. Across fifteen positions, where not every company raises again, pure defence uses 48 per cent of the pool. Both statements are true at once and they point in opposite directions.</t>
  </si>
  <si>
    <t xml:space="preserve">Three. Defending reduces the multiple on the position at EVERY exit value — not sometimes, always — because follow-on dollars are bought at a higher price than the initial check by construction. On the base case the position goes from 7.65x undefended to 5.00x defended while the internal rate of return barely moves, 40.4 to 40.8 per cent. Reserves buy profit dollars and scale. They do not buy multiple, and a fund that reports multiple first should know which it is optimising.</t>
  </si>
  <si>
    <t xml:space="preserve">Four. Below an exit of 521 the follow-on dollars lose money outright — and at that exit the original check is still returning 2.66 times. There is a band of good-but-not-great outcomes in which defending ownership converts a solid winner into a worse one. Sheet 5 draws it.</t>
  </si>
  <si>
    <t xml:space="preserve">And the claim at the centre of the chapter</t>
  </si>
  <si>
    <t xml:space="preserve">Chapter 12 says reserves "shape a fund's returns as much as picking winners does". Sheet 6 tests it like for like. A fund with no reserve writes the same cheque into thirty names instead of fifteen and, after dilution, owns 36 per cent more of the identical company set. The 1:1 fund closes that gap only by deploying its idle reserve — and at the same price per unit of ownership, that costs 1.02 times what it has left. Break-even, almost exactly.</t>
  </si>
  <si>
    <t xml:space="preserve">Which means the claim is not a parallel claim. It is the same claim. A reserve is worth precisely the selection quality of the follow-on decision and nothing else; deployed without an edge it buys fewer names at a higher average price. The chapter's warning that "the reserve is not an entitlement" is right, and this is the number that makes it enforceable.</t>
  </si>
  <si>
    <t xml:space="preserve">The sheets</t>
  </si>
  <si>
    <t xml:space="preserve">1. The Inputs — every figure in the file, in one place</t>
  </si>
  <si>
    <t xml:space="preserve">2. The Fund — position count, initial cheque, implied entry valuation</t>
  </si>
  <si>
    <t xml:space="preserve">3. The Pro Rata Cheque — what defending costs, and the step-up at which the chapter's sentence turns true</t>
  </si>
  <si>
    <t xml:space="preserve">4. Defended or Not — the same company, the same exit, two policies</t>
  </si>
  <si>
    <t xml:space="preserve">5. Where Defending Loses — exit by exit</t>
  </si>
  <si>
    <t xml:space="preserve">6. Reserves Against Picking Winners — the like-for-like the chapter implies</t>
  </si>
  <si>
    <t xml:space="preserve">7. Checks — every figure in the appendix, recomputed here</t>
  </si>
  <si>
    <t xml:space="preserve">Conventions</t>
  </si>
  <si>
    <t xml:space="preserve">Amber cells are inputs. Grey cells are formulas. Nothing is locked, protected or watermarked.</t>
  </si>
  <si>
    <t xml:space="preserve">Every fund, company and round in this file is fictional, and the parameters are chosen so the arithmetic can be rebuilt rather than because they describe any particular market.</t>
  </si>
  <si>
    <t xml:space="preserve">Every figure in this file</t>
  </si>
  <si>
    <t xml:space="preserve">Chapter 12 states seven quantities in words and none in digits. These are those quantities, plus the deal parameters needed to run them.</t>
  </si>
  <si>
    <t xml:space="preserve">Value</t>
  </si>
  <si>
    <t xml:space="preserve">Where it comes from</t>
  </si>
  <si>
    <t xml:space="preserve">Fund size</t>
  </si>
  <si>
    <t xml:space="preserve">the scale; nothing depends on it but the counts</t>
  </si>
  <si>
    <t xml:space="preserve">Core positions</t>
  </si>
  <si>
    <t xml:space="preserve">Chapter 12: "a book of, say, fifteen to twenty core positions"</t>
  </si>
  <si>
    <t xml:space="preserve">Reserve ratio, reserve per initial dollar</t>
  </si>
  <si>
    <t xml:space="preserve">Chapter 12: "an equal amount of capital alongside every initial dollar"</t>
  </si>
  <si>
    <t xml:space="preserve">Entry ownership</t>
  </si>
  <si>
    <t xml:space="preserve">Chapter 12: "a double-digit ownership percentage"</t>
  </si>
  <si>
    <t xml:space="preserve">Round C step-up on entry post-money</t>
  </si>
  <si>
    <t xml:space="preserve">an ordinary growth step-up</t>
  </si>
  <si>
    <t xml:space="preserve">Round C dilution — share of the company sold</t>
  </si>
  <si>
    <t xml:space="preserve">an ordinary growth round</t>
  </si>
  <si>
    <t xml:space="preserve">Round D step-up on round C</t>
  </si>
  <si>
    <t xml:space="preserve">a later, tighter round</t>
  </si>
  <si>
    <t xml:space="preserve">Round D dilution</t>
  </si>
  <si>
    <t xml:space="preserve">later rounds sell less</t>
  </si>
  <si>
    <t xml:space="preserve">Exit enterprise value</t>
  </si>
  <si>
    <t xml:space="preserve">a strong outcome, not a fund-returner</t>
  </si>
  <si>
    <t xml:space="preserve">Years to exit</t>
  </si>
  <si>
    <t xml:space="preserve">Round C at year</t>
  </si>
  <si>
    <t xml:space="preserve">Round D at year</t>
  </si>
  <si>
    <t xml:space="preserve">Of 15 positions, how many never raise again</t>
  </si>
  <si>
    <t xml:space="preserve">the chapter's own point that not every name comes back</t>
  </si>
  <si>
    <t xml:space="preserve">  how many raise once more</t>
  </si>
  <si>
    <t xml:space="preserve">  how many raise twice more</t>
  </si>
  <si>
    <t xml:space="preserve">Change any of these and every sheet re-solves. The three position counts on rows 17 to 19 must sum to the core position count on row 6 — check 12 enforces it.</t>
  </si>
  <si>
    <t xml:space="preserve">The arithmetic the chapter names and does not do</t>
  </si>
  <si>
    <t xml:space="preserve">Chapter 12: a fund "has, by simple arithmetic, an implied average check". Here it is.</t>
  </si>
  <si>
    <t xml:space="preserve">Reading</t>
  </si>
  <si>
    <t xml:space="preserve">Initial pool</t>
  </si>
  <si>
    <t xml:space="preserve">the fund divided by one plus the reserve ratio</t>
  </si>
  <si>
    <t xml:space="preserve">Reserve pool</t>
  </si>
  <si>
    <t xml:space="preserve">what is held back</t>
  </si>
  <si>
    <t xml:space="preserve">IMPLIED INITIAL CHEQUE</t>
  </si>
  <si>
    <t xml:space="preserve">the centre of gravity, not a target</t>
  </si>
  <si>
    <t xml:space="preserve">IMPLIED ENTRY POST-MONEY</t>
  </si>
  <si>
    <t xml:space="preserve">the valuation at which that cheque buys that stake</t>
  </si>
  <si>
    <t xml:space="preserve">The valuations the two follow-on rounds happen at</t>
  </si>
  <si>
    <t xml:space="preserve">Post-money</t>
  </si>
  <si>
    <t xml:space="preserve">Share sold</t>
  </si>
  <si>
    <t xml:space="preserve">Round size</t>
  </si>
  <si>
    <t xml:space="preserve">Entry</t>
  </si>
  <si>
    <t xml:space="preserve">—</t>
  </si>
  <si>
    <t xml:space="preserve">Round C</t>
  </si>
  <si>
    <t xml:space="preserve">Round D</t>
  </si>
  <si>
    <t xml:space="preserve">Notice what happens down the two right-hand columns. The company gets more valuable and sells less of itself. Chapter 12 mentions only the first of those, and that omission is what produces the error the next sheet corrects.</t>
  </si>
  <si>
    <t xml:space="preserve">What defending your ownership costs</t>
  </si>
  <si>
    <t xml:space="preserve">Chapter 12: exercising pro rata "costs real capital — often more than the original check, because the company is now more valuable".</t>
  </si>
  <si>
    <t xml:space="preserve">Your pro rata</t>
  </si>
  <si>
    <t xml:space="preserve">As a multiple of the initial cheque</t>
  </si>
  <si>
    <t xml:space="preserve">BOTH ROUNDS DEFENDED</t>
  </si>
  <si>
    <t xml:space="preserve">So defending costs 1.25 times the initial cheque across two rounds, not more than the initial cheque in each. And the reserve set aside for this name was exactly one times its cheque. The chapter promises, in one sentence, that a 1:1 reserve lets a fund "defend its ownership through both rounds and still lean in". It does not stretch to the defence, let alone the leaning in.</t>
  </si>
  <si>
    <t xml:space="preserve">The identity the chapter is missing</t>
  </si>
  <si>
    <t xml:space="preserve">A pro rata cheque is your ownership times the ROUND SIZE, and round size is dilution times post-money. So the ratio of the pro rata to your initial cheque is the cumulative step-up TIMES the dilution — not the step-up alone. Rising valuation pushes it up; falling dilution pulls it down.</t>
  </si>
  <si>
    <t xml:space="preserve">If the round sells...</t>
  </si>
  <si>
    <t xml:space="preserve">...the pro rata exceeds the initial cheque only above a cumulative step-up of</t>
  </si>
  <si>
    <t xml:space="preserve">This deal's cumulative step-up at round D</t>
  </si>
  <si>
    <t xml:space="preserve">At a twenty per cent round the company would have to be worth five times its entry valuation before the chapter's sentence became true. Growth rounds step up one and a half to three times and later rounds sell less, not more. The sentence describes an outlier and presents it as the norm.</t>
  </si>
  <si>
    <t xml:space="preserve">The same company, the same exit, two policies</t>
  </si>
  <si>
    <t xml:space="preserve">Chapter 12: by exit an undefended stake "may be a fraction of what it could have been — same company, same enterprise value, a materially smaller slice".</t>
  </si>
  <si>
    <t xml:space="preserve">Never follows on</t>
  </si>
  <si>
    <t xml:space="preserve">Defends both rounds</t>
  </si>
  <si>
    <t xml:space="preserve">Ownership at exit</t>
  </si>
  <si>
    <t xml:space="preserve">Capital invested</t>
  </si>
  <si>
    <t xml:space="preserve">Proceeds at exit</t>
  </si>
  <si>
    <t xml:space="preserve">Profit</t>
  </si>
  <si>
    <t xml:space="preserve">MULTIPLE ON INVESTED CAPITAL</t>
  </si>
  <si>
    <t xml:space="preserve">Internal rate of return</t>
  </si>
  <si>
    <t xml:space="preserve">0</t>
  </si>
  <si>
    <t xml:space="preserve">1</t>
  </si>
  <si>
    <t xml:space="preserve">2</t>
  </si>
  <si>
    <t xml:space="preserve">3</t>
  </si>
  <si>
    <t xml:space="preserve">4</t>
  </si>
  <si>
    <t xml:space="preserve">5</t>
  </si>
  <si>
    <t xml:space="preserve">6</t>
  </si>
  <si>
    <t xml:space="preserve">Cash flow, defended case</t>
  </si>
  <si>
    <t xml:space="preserve">The follow-on dollars, on their own</t>
  </si>
  <si>
    <t xml:space="preserve">Extra ownership they buy</t>
  </si>
  <si>
    <t xml:space="preserve">What they cost</t>
  </si>
  <si>
    <t xml:space="preserve">What they return</t>
  </si>
  <si>
    <t xml:space="preserve">MULTIPLE ON THE FOLLOW-ON DOLLARS</t>
  </si>
  <si>
    <t xml:space="preserve">Extra profit dollars from defending</t>
  </si>
  <si>
    <t xml:space="preserve">Read the two bold numbers together. Defending adds real profit — and cuts the multiple on the position from 7.65 times to 5.00 times, while the internal rate of return barely moves. That is not a quirk of these inputs. Follow-on dollars are bought at a higher price than the initial cheque by construction, so they must return a lower multiple, so the blended multiple must fall. It falls at every exit value there is.</t>
  </si>
  <si>
    <t xml:space="preserve">Which makes reserves a decision about what you are optimising. They buy profit dollars and the scale of a distribution. They do not buy multiple. A fund whose first line to its investors is a multiple is reporting the number its reserve policy works against.</t>
  </si>
  <si>
    <t xml:space="preserve">Where defending your ownership destroys value</t>
  </si>
  <si>
    <t xml:space="preserve">Nothing in Chapter 12 suggests this band exists. It does, and it sits in the range of outcomes a growth fund produces most often.</t>
  </si>
  <si>
    <t xml:space="preserve">The follow-on dollars break even at an exit of</t>
  </si>
  <si>
    <t xml:space="preserve">At that exit the original cheque is still returning</t>
  </si>
  <si>
    <t xml:space="preserve">and the company is worth</t>
  </si>
  <si>
    <t xml:space="preserve">times its entry post-money</t>
  </si>
  <si>
    <t xml:space="preserve">Exit value</t>
  </si>
  <si>
    <t xml:space="preserve">Follow-on dollars</t>
  </si>
  <si>
    <t xml:space="preserve">Undefended multiple</t>
  </si>
  <si>
    <t xml:space="preserve">Defended multiple</t>
  </si>
  <si>
    <t xml:space="preserve">Extra profit from defending</t>
  </si>
  <si>
    <t xml:space="preserve">Below an exit of roughly five hundred and twenty the follow-on dollars come back worth less than they cost — and at that exit the original cheque is still returning two and two-thirds times and the company is worth nearly four times what you paid. That is not a failure. It is the ordinary good-but-not-great outcome, and defending ownership through it converts a solid winner into a worse one.</t>
  </si>
  <si>
    <t xml:space="preserve">Which is the practical form of the chapter's own warning that "the reserve is not an entitlement". The follow-on is not a decision about whether the company is good. It is a decision about whether the company is good enough at the new price, and the threshold is higher than most people carry in their heads.</t>
  </si>
  <si>
    <t xml:space="preserve">And the defended multiple is lower in every row above, without exception.</t>
  </si>
  <si>
    <t xml:space="preserve">That is mechanical: it holds for any exit value, any step-up, any dilution, whenever the follow-on price is above the entry price. There is no exit at which defending improves the multiple on the position.</t>
  </si>
  <si>
    <t xml:space="preserve">Testing the sentence at the centre of the chapter</t>
  </si>
  <si>
    <t xml:space="preserve">Chapter 12: "Reserves and ownership discipline shape a fund's returns as much as picking winners does."</t>
  </si>
  <si>
    <t xml:space="preserve">First: does a 1:1 reserve even bind at fund level?</t>
  </si>
  <si>
    <t xml:space="preserve">Positions</t>
  </si>
  <si>
    <t xml:space="preserve">Pro rata each</t>
  </si>
  <si>
    <t xml:space="preserve">Total</t>
  </si>
  <si>
    <t xml:space="preserve">Never raise again</t>
  </si>
  <si>
    <t xml:space="preserve">Raise once more</t>
  </si>
  <si>
    <t xml:space="preserve">Raise twice more</t>
  </si>
  <si>
    <t xml:space="preserve">PURE-DEFENCE NEED</t>
  </si>
  <si>
    <t xml:space="preserve">Utilisation</t>
  </si>
  <si>
    <t xml:space="preserve">Left over for discretion</t>
  </si>
  <si>
    <t xml:space="preserve">So the reserve is simultaneously too tight for the name that wins — 1.25 times its cheque, against one times held back — and half unused across the book, because most positions never come back. Both are true. The chapter dramatises the first and never mentions the second.</t>
  </si>
  <si>
    <t xml:space="preserve">Second: the like-for-like</t>
  </si>
  <si>
    <t xml:space="preserve">Two funds, the same size, the same company set, no follow-on selection skill on either side. One reserves 1:1 and defends. The other reserves nothing and writes the same cheque into twice as many names. Ownership-units are what each ends up holding of the same set.</t>
  </si>
  <si>
    <t xml:space="preserve">Names</t>
  </si>
  <si>
    <t xml:space="preserve">Ownership each</t>
  </si>
  <si>
    <t xml:space="preserve">Ownership-units</t>
  </si>
  <si>
    <t xml:space="preserve">No reserve</t>
  </si>
  <si>
    <t xml:space="preserve">1:1 reserve, defended</t>
  </si>
  <si>
    <t xml:space="preserve">GAP</t>
  </si>
  <si>
    <t xml:space="preserve">as a share</t>
  </si>
  <si>
    <t xml:space="preserve">Can the idle reserve close the gap?</t>
  </si>
  <si>
    <t xml:space="preserve">Ownership-units the 1:1 fund is short</t>
  </si>
  <si>
    <t xml:space="preserve">What the no-reserve fund pays per unit</t>
  </si>
  <si>
    <t xml:space="preserve">Cost of closing the gap at that price</t>
  </si>
  <si>
    <t xml:space="preserve">Discretionary reserve available</t>
  </si>
  <si>
    <t xml:space="preserve">REQUIRED EDGE OVER THE AVERAGE NAME</t>
  </si>
  <si>
    <t xml:space="preserve">1.02 times. Break-even, almost exactly. Which means the sentence is not a parallel claim at all — it is the same claim wearing different clothes. A reserve buys nothing on its own: at the same price per unit of ownership it merely rebuys what concentration gave away. Everything it is worth is the quality of the follow-on decision, and the follow-on decision is picking winners, done later and at a higher price.</t>
  </si>
  <si>
    <t xml:space="preserve">That is not an argument against reserves. It is an argument for measuring them. Compare the multiple your initial cheques returned with the multiple your follow-on dollars returned, across the book. If the second is not clearly higher after adjusting for the shorter hold, the reserve policy took value out of the fund — and since follow-ons are structurally bought at higher prices, that is the result you should expect unless you can show otherwise.</t>
  </si>
  <si>
    <t xml:space="preserve">Every figure in Appendix C, recomputed here</t>
  </si>
  <si>
    <t xml:space="preserve">Nothing here is reproduced from the book — the chapter prints no figures. These check the appendix against the file.</t>
  </si>
  <si>
    <t xml:space="preserve">Figure</t>
  </si>
  <si>
    <t xml:space="preserve">Appendix C</t>
  </si>
  <si>
    <t xml:space="preserve">This file</t>
  </si>
  <si>
    <t xml:space="preserve">Status</t>
  </si>
  <si>
    <t xml:space="preserve">Note</t>
  </si>
  <si>
    <t xml:space="preserve">Initial cheque</t>
  </si>
  <si>
    <t xml:space="preserve">tol 0.01</t>
  </si>
  <si>
    <t xml:space="preserve">Implied entry post-money</t>
  </si>
  <si>
    <t xml:space="preserve">tol 0.1</t>
  </si>
  <si>
    <t xml:space="preserve">Round C pro rata</t>
  </si>
  <si>
    <t xml:space="preserve">tol 0.02</t>
  </si>
  <si>
    <t xml:space="preserve">Round D pro rata</t>
  </si>
  <si>
    <t xml:space="preserve">Both rounds, as a multiple of the cheque</t>
  </si>
  <si>
    <t xml:space="preserve">tol 0.005</t>
  </si>
  <si>
    <t xml:space="preserve">Break-even step-up at a 20% round</t>
  </si>
  <si>
    <t xml:space="preserve">Ownership at exit, undefended</t>
  </si>
  <si>
    <t xml:space="preserve">tol 0.0005</t>
  </si>
  <si>
    <t xml:space="preserve">Multiple, undefended</t>
  </si>
  <si>
    <t xml:space="preserve">Multiple, defended</t>
  </si>
  <si>
    <t xml:space="preserve">IRR, undefended</t>
  </si>
  <si>
    <t xml:space="preserve">tol 0.003</t>
  </si>
  <si>
    <t xml:space="preserve">IRR, defended</t>
  </si>
  <si>
    <t xml:space="preserve">tol 0.004</t>
  </si>
  <si>
    <t xml:space="preserve">Multiple on the follow-on dollars alone</t>
  </si>
  <si>
    <t xml:space="preserve">tol 0.2</t>
  </si>
  <si>
    <t xml:space="preserve">Exit at which the follow-on dollars break even</t>
  </si>
  <si>
    <t xml:space="preserve">tol 0.6</t>
  </si>
  <si>
    <t xml:space="preserve">  the original cheque there</t>
  </si>
  <si>
    <t xml:space="preserve">Pure-defence need across the book</t>
  </si>
  <si>
    <t xml:space="preserve">Reserve utilisation</t>
  </si>
  <si>
    <t xml:space="preserve">Ownership-units, no reserve</t>
  </si>
  <si>
    <t xml:space="preserve">Ownership-units, 1:1 defended</t>
  </si>
  <si>
    <t xml:space="preserve">Gap, as a share</t>
  </si>
  <si>
    <t xml:space="preserve">Required edge over the average name</t>
  </si>
  <si>
    <t xml:space="preserve">The three position counts sum to the core count</t>
  </si>
  <si>
    <t xml:space="preserve">must be 0</t>
  </si>
  <si>
    <t xml:space="preserve">The defended multiple is below the undefended one at every exit</t>
  </si>
  <si>
    <t xml:space="preserve">Pro rata is BELOW the initial cheque in both rounds</t>
  </si>
  <si>
    <t xml:space="preserve">must be 0 — the chapter says otherwise</t>
  </si>
  <si>
    <t xml:space="preserve">Checks passing</t>
  </si>
</sst>
</file>

<file path=xl/styles.xml><?xml version="1.0" encoding="utf-8"?>
<styleSheet xmlns="http://schemas.openxmlformats.org/spreadsheetml/2006/main">
  <numFmts count="11">
    <numFmt numFmtId="164" formatCode="General"/>
    <numFmt numFmtId="165" formatCode="#,##0.00"/>
    <numFmt numFmtId="166" formatCode="0"/>
    <numFmt numFmtId="167" formatCode="0.00\x"/>
    <numFmt numFmtId="168" formatCode="0.0%"/>
    <numFmt numFmtId="169" formatCode="0.0"/>
    <numFmt numFmtId="170" formatCode="#,##0.0"/>
    <numFmt numFmtId="171" formatCode="0.00%"/>
    <numFmt numFmtId="172" formatCode="\+0.0;\-0.0;0.0"/>
    <numFmt numFmtId="173" formatCode="0.000"/>
    <numFmt numFmtId="174" formatCode="\+0.000;\-0.000"/>
  </numFmts>
  <fonts count="14">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0"/>
      <color rgb="FFFFFFFF"/>
      <name val="Cambria"/>
      <family val="0"/>
      <charset val="1"/>
    </font>
    <font>
      <b val="true"/>
      <sz val="11"/>
      <color rgb="FF1B4E8C"/>
      <name val="Cambria"/>
      <family val="0"/>
      <charset val="1"/>
    </font>
    <font>
      <sz val="11"/>
      <color rgb="FF1F2733"/>
      <name val="Cambria"/>
      <family val="0"/>
      <charset val="1"/>
    </font>
    <font>
      <b val="true"/>
      <sz val="10.5"/>
      <color rgb="FF1F2733"/>
      <name val="Cambria"/>
      <family val="0"/>
      <charset val="1"/>
    </font>
    <font>
      <b val="true"/>
      <sz val="11"/>
      <color rgb="FF1F2733"/>
      <name val="Cambria"/>
      <family val="0"/>
      <charset val="1"/>
    </font>
  </fonts>
  <fills count="6">
    <fill>
      <patternFill patternType="none"/>
    </fill>
    <fill>
      <patternFill patternType="gray125"/>
    </fill>
    <fill>
      <patternFill patternType="solid">
        <fgColor rgb="FF1F2733"/>
        <bgColor rgb="FF333300"/>
      </patternFill>
    </fill>
    <fill>
      <patternFill patternType="solid">
        <fgColor rgb="FFFDF3DC"/>
        <bgColor rgb="FFFBF0E4"/>
      </patternFill>
    </fill>
    <fill>
      <patternFill patternType="solid">
        <fgColor rgb="FFF1F3F5"/>
        <bgColor rgb="FFFBF0E4"/>
      </patternFill>
    </fill>
    <fill>
      <patternFill patternType="solid">
        <fgColor rgb="FFFBF0E4"/>
        <bgColor rgb="FFFDF3DC"/>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6" fontId="11" fillId="4"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3" fillId="5" borderId="1" xfId="0" applyFont="true" applyBorder="true" applyAlignment="false" applyProtection="false">
      <alignment horizontal="general" vertical="bottom" textRotation="0" wrapText="false" indent="0" shrinkToFit="false"/>
      <protection locked="true" hidden="false"/>
    </xf>
    <xf numFmtId="168" fontId="11" fillId="4" borderId="1" xfId="0" applyFont="true" applyBorder="true" applyAlignment="false" applyProtection="false">
      <alignment horizontal="general" vertical="bottom" textRotation="0" wrapText="false" indent="0" shrinkToFit="false"/>
      <protection locked="true" hidden="false"/>
    </xf>
    <xf numFmtId="170" fontId="11" fillId="4" borderId="1" xfId="0" applyFont="true" applyBorder="true" applyAlignment="false" applyProtection="false">
      <alignment horizontal="general" vertical="bottom" textRotation="0" wrapText="false" indent="0" shrinkToFit="false"/>
      <protection locked="true" hidden="false"/>
    </xf>
    <xf numFmtId="165" fontId="13" fillId="4" borderId="1" xfId="0" applyFont="true" applyBorder="true" applyAlignment="false" applyProtection="false">
      <alignment horizontal="general" vertical="bottom" textRotation="0" wrapText="false" indent="0" shrinkToFit="false"/>
      <protection locked="true" hidden="false"/>
    </xf>
    <xf numFmtId="167" fontId="13" fillId="4" borderId="1" xfId="0" applyFont="true" applyBorder="true" applyAlignment="false" applyProtection="false">
      <alignment horizontal="general" vertical="bottom" textRotation="0" wrapText="false" indent="0" shrinkToFit="false"/>
      <protection locked="true" hidden="false"/>
    </xf>
    <xf numFmtId="167" fontId="13" fillId="5" borderId="1" xfId="0" applyFont="true" applyBorder="true" applyAlignment="false" applyProtection="false">
      <alignment horizontal="general" vertical="bottom" textRotation="0" wrapText="false" indent="0" shrinkToFit="false"/>
      <protection locked="true" hidden="false"/>
    </xf>
    <xf numFmtId="171" fontId="13" fillId="4" borderId="1" xfId="0" applyFont="true" applyBorder="true" applyAlignment="false" applyProtection="false">
      <alignment horizontal="general" vertical="bottom" textRotation="0" wrapText="false" indent="0" shrinkToFit="false"/>
      <protection locked="true" hidden="false"/>
    </xf>
    <xf numFmtId="168" fontId="13" fillId="4" borderId="1" xfId="0" applyFont="true" applyBorder="true" applyAlignment="false" applyProtection="false">
      <alignment horizontal="general" vertical="bottom" textRotation="0" wrapText="false" indent="0" shrinkToFit="false"/>
      <protection locked="true" hidden="false"/>
    </xf>
    <xf numFmtId="170" fontId="0" fillId="4" borderId="1" xfId="0" applyFont="false" applyBorder="true" applyAlignment="false" applyProtection="false">
      <alignment horizontal="general" vertical="bottom" textRotation="0" wrapText="false" indent="0" shrinkToFit="false"/>
      <protection locked="true" hidden="false"/>
    </xf>
    <xf numFmtId="171" fontId="11" fillId="4" borderId="1" xfId="0" applyFont="true" applyBorder="true" applyAlignment="false" applyProtection="false">
      <alignment horizontal="general" vertical="bottom" textRotation="0" wrapText="false" indent="0" shrinkToFit="false"/>
      <protection locked="true" hidden="false"/>
    </xf>
    <xf numFmtId="170" fontId="13" fillId="5" borderId="1" xfId="0" applyFont="true" applyBorder="true" applyAlignment="false" applyProtection="false">
      <alignment horizontal="general" vertical="bottom" textRotation="0" wrapText="false" indent="0" shrinkToFit="false"/>
      <protection locked="true" hidden="false"/>
    </xf>
    <xf numFmtId="170" fontId="10" fillId="3" borderId="1" xfId="0" applyFont="true" applyBorder="true" applyAlignment="false" applyProtection="false">
      <alignment horizontal="general" vertical="bottom" textRotation="0" wrapText="false" indent="0" shrinkToFit="false"/>
      <protection locked="true" hidden="false"/>
    </xf>
    <xf numFmtId="167" fontId="11" fillId="4" borderId="1" xfId="0" applyFont="true" applyBorder="true" applyAlignment="false" applyProtection="false">
      <alignment horizontal="general" vertical="bottom" textRotation="0" wrapText="false" indent="0" shrinkToFit="false"/>
      <protection locked="true" hidden="false"/>
    </xf>
    <xf numFmtId="172" fontId="11" fillId="4" borderId="1" xfId="0" applyFont="true" applyBorder="true" applyAlignment="false" applyProtection="false">
      <alignment horizontal="general" vertical="bottom" textRotation="0" wrapText="false" indent="0" shrinkToFit="false"/>
      <protection locked="true" hidden="false"/>
    </xf>
    <xf numFmtId="166" fontId="13" fillId="4" borderId="1" xfId="0" applyFont="true" applyBorder="true" applyAlignment="false" applyProtection="false">
      <alignment horizontal="general" vertical="bottom" textRotation="0" wrapText="false" indent="0" shrinkToFit="false"/>
      <protection locked="true" hidden="false"/>
    </xf>
    <xf numFmtId="168" fontId="13" fillId="5" borderId="1" xfId="0" applyFont="true" applyBorder="true" applyAlignment="false" applyProtection="false">
      <alignment horizontal="general" vertical="bottom" textRotation="0" wrapText="false" indent="0" shrinkToFit="false"/>
      <protection locked="true" hidden="false"/>
    </xf>
    <xf numFmtId="170" fontId="13" fillId="4" borderId="1" xfId="0" applyFont="true" applyBorder="true" applyAlignment="false" applyProtection="false">
      <alignment horizontal="general" vertical="bottom" textRotation="0" wrapText="false" indent="0" shrinkToFit="false"/>
      <protection locked="true" hidden="false"/>
    </xf>
    <xf numFmtId="173" fontId="11" fillId="4" borderId="1" xfId="0" applyFont="true" applyBorder="true" applyAlignment="false" applyProtection="false">
      <alignment horizontal="general" vertical="bottom" textRotation="0" wrapText="false" indent="0" shrinkToFit="false"/>
      <protection locked="true" hidden="false"/>
    </xf>
    <xf numFmtId="174" fontId="13" fillId="5" borderId="1"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CCFFCC"/>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4"/>
  </cols>
  <sheetData>
    <row r="1" customFormat="false" ht="18.55" hidden="false" customHeight="false" outlineLevel="0" collapsed="false">
      <c r="A1" s="1" t="s">
        <v>0</v>
      </c>
    </row>
    <row r="2" customFormat="false" ht="15" hidden="false" customHeight="false" outlineLevel="0" collapsed="false">
      <c r="A2" s="2" t="s">
        <v>1</v>
      </c>
    </row>
    <row r="4" customFormat="false" ht="75" hidden="false" customHeight="true" outlineLevel="0" collapsed="false">
      <c r="A4" s="3" t="s">
        <v>2</v>
      </c>
    </row>
    <row r="6" customFormat="false" ht="60" hidden="false" customHeight="true" outlineLevel="0" collapsed="false">
      <c r="A6" s="3" t="s">
        <v>3</v>
      </c>
    </row>
    <row r="8" customFormat="false" ht="15" hidden="false" customHeight="false" outlineLevel="0" collapsed="false">
      <c r="A8" s="4" t="s">
        <v>4</v>
      </c>
    </row>
    <row r="9" customFormat="false" ht="105" hidden="false" customHeight="true" outlineLevel="0" collapsed="false">
      <c r="A9" s="3" t="s">
        <v>5</v>
      </c>
    </row>
    <row r="10" customFormat="false" ht="75" hidden="false" customHeight="true" outlineLevel="0" collapsed="false">
      <c r="A10" s="3" t="s">
        <v>6</v>
      </c>
    </row>
    <row r="11" customFormat="false" ht="90" hidden="false" customHeight="true" outlineLevel="0" collapsed="false">
      <c r="A11" s="3" t="s">
        <v>7</v>
      </c>
    </row>
    <row r="12" customFormat="false" ht="45" hidden="false" customHeight="true" outlineLevel="0" collapsed="false">
      <c r="A12" s="3" t="s">
        <v>8</v>
      </c>
    </row>
    <row r="14" customFormat="false" ht="15" hidden="false" customHeight="false" outlineLevel="0" collapsed="false">
      <c r="A14" s="4" t="s">
        <v>9</v>
      </c>
    </row>
    <row r="15" customFormat="false" ht="75" hidden="false" customHeight="true" outlineLevel="0" collapsed="false">
      <c r="A15" s="3" t="s">
        <v>10</v>
      </c>
    </row>
    <row r="16" customFormat="false" ht="60" hidden="false" customHeight="true" outlineLevel="0" collapsed="false">
      <c r="A16" s="3" t="s">
        <v>11</v>
      </c>
    </row>
    <row r="18" customFormat="false" ht="15" hidden="false" customHeight="false" outlineLevel="0" collapsed="false">
      <c r="A18" s="4" t="s">
        <v>12</v>
      </c>
    </row>
    <row r="19" customFormat="false" ht="15" hidden="false" customHeight="true" outlineLevel="0" collapsed="false">
      <c r="A19" s="3" t="s">
        <v>13</v>
      </c>
    </row>
    <row r="20" customFormat="false" ht="15" hidden="false" customHeight="true" outlineLevel="0" collapsed="false">
      <c r="A20" s="3" t="s">
        <v>14</v>
      </c>
    </row>
    <row r="21" customFormat="false" ht="30" hidden="false" customHeight="true" outlineLevel="0" collapsed="false">
      <c r="A21" s="3" t="s">
        <v>15</v>
      </c>
    </row>
    <row r="22" customFormat="false" ht="15" hidden="false" customHeight="true" outlineLevel="0" collapsed="false">
      <c r="A22" s="3" t="s">
        <v>16</v>
      </c>
    </row>
    <row r="23" customFormat="false" ht="15" hidden="false" customHeight="true" outlineLevel="0" collapsed="false">
      <c r="A23" s="3" t="s">
        <v>17</v>
      </c>
    </row>
    <row r="24" customFormat="false" ht="15" hidden="false" customHeight="true" outlineLevel="0" collapsed="false">
      <c r="A24" s="3" t="s">
        <v>18</v>
      </c>
    </row>
    <row r="25" customFormat="false" ht="15" hidden="false" customHeight="true" outlineLevel="0" collapsed="false">
      <c r="A25" s="3" t="s">
        <v>19</v>
      </c>
    </row>
    <row r="27" customFormat="false" ht="15" hidden="false" customHeight="false" outlineLevel="0" collapsed="false">
      <c r="A27" s="4" t="s">
        <v>20</v>
      </c>
    </row>
    <row r="28" customFormat="false" ht="15" hidden="false" customHeight="true" outlineLevel="0" collapsed="false">
      <c r="A28" s="3" t="s">
        <v>21</v>
      </c>
    </row>
    <row r="29" customFormat="false" ht="30" hidden="false" customHeight="true" outlineLevel="0" collapsed="false">
      <c r="A29" s="3" t="s">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 collapsed="false" customWidth="true" hidden="false" outlineLevel="0" max="4" min="4" style="0" width="52"/>
  </cols>
  <sheetData>
    <row r="1" customFormat="false" ht="17.35" hidden="false" customHeight="false" outlineLevel="0" collapsed="false">
      <c r="A1" s="5" t="s">
        <v>23</v>
      </c>
    </row>
    <row r="2" customFormat="false" ht="15" hidden="false" customHeight="false" outlineLevel="0" collapsed="false">
      <c r="A2" s="2" t="s">
        <v>24</v>
      </c>
    </row>
    <row r="4" customFormat="false" ht="30" hidden="false" customHeight="true" outlineLevel="0" collapsed="false">
      <c r="A4" s="6"/>
      <c r="B4" s="6" t="s">
        <v>25</v>
      </c>
      <c r="C4" s="6"/>
      <c r="D4" s="6" t="s">
        <v>26</v>
      </c>
    </row>
    <row r="5" customFormat="false" ht="15" hidden="false" customHeight="false" outlineLevel="0" collapsed="false">
      <c r="A5" s="7" t="s">
        <v>27</v>
      </c>
      <c r="B5" s="8" t="n">
        <v>600</v>
      </c>
      <c r="D5" s="9" t="s">
        <v>28</v>
      </c>
    </row>
    <row r="6" customFormat="false" ht="15" hidden="false" customHeight="false" outlineLevel="0" collapsed="false">
      <c r="A6" s="7" t="s">
        <v>29</v>
      </c>
      <c r="B6" s="10" t="n">
        <v>15</v>
      </c>
      <c r="D6" s="9" t="s">
        <v>30</v>
      </c>
    </row>
    <row r="7" customFormat="false" ht="15" hidden="false" customHeight="false" outlineLevel="0" collapsed="false">
      <c r="A7" s="7" t="s">
        <v>31</v>
      </c>
      <c r="B7" s="11" t="n">
        <v>1</v>
      </c>
      <c r="D7" s="9" t="s">
        <v>32</v>
      </c>
    </row>
    <row r="8" customFormat="false" ht="15" hidden="false" customHeight="false" outlineLevel="0" collapsed="false">
      <c r="A8" s="7" t="s">
        <v>33</v>
      </c>
      <c r="B8" s="12" t="n">
        <v>0.15</v>
      </c>
      <c r="D8" s="9" t="s">
        <v>34</v>
      </c>
    </row>
    <row r="9" customFormat="false" ht="15" hidden="false" customHeight="false" outlineLevel="0" collapsed="false">
      <c r="A9" s="7" t="s">
        <v>35</v>
      </c>
      <c r="B9" s="11" t="n">
        <v>2.5</v>
      </c>
      <c r="D9" s="9" t="s">
        <v>36</v>
      </c>
    </row>
    <row r="10" customFormat="false" ht="15" hidden="false" customHeight="false" outlineLevel="0" collapsed="false">
      <c r="A10" s="7" t="s">
        <v>37</v>
      </c>
      <c r="B10" s="12" t="n">
        <v>0.2</v>
      </c>
      <c r="D10" s="9" t="s">
        <v>38</v>
      </c>
    </row>
    <row r="11" customFormat="false" ht="15" hidden="false" customHeight="false" outlineLevel="0" collapsed="false">
      <c r="A11" s="7" t="s">
        <v>39</v>
      </c>
      <c r="B11" s="11" t="n">
        <v>2</v>
      </c>
      <c r="D11" s="9" t="s">
        <v>40</v>
      </c>
    </row>
    <row r="12" customFormat="false" ht="15" hidden="false" customHeight="false" outlineLevel="0" collapsed="false">
      <c r="A12" s="7" t="s">
        <v>41</v>
      </c>
      <c r="B12" s="12" t="n">
        <v>0.15</v>
      </c>
      <c r="D12" s="9" t="s">
        <v>42</v>
      </c>
    </row>
    <row r="13" customFormat="false" ht="15" hidden="false" customHeight="false" outlineLevel="0" collapsed="false">
      <c r="A13" s="7" t="s">
        <v>43</v>
      </c>
      <c r="B13" s="8" t="n">
        <v>1500</v>
      </c>
      <c r="D13" s="9" t="s">
        <v>44</v>
      </c>
    </row>
    <row r="14" customFormat="false" ht="15" hidden="false" customHeight="false" outlineLevel="0" collapsed="false">
      <c r="A14" s="7" t="s">
        <v>45</v>
      </c>
      <c r="B14" s="13" t="n">
        <v>6</v>
      </c>
      <c r="D14" s="9"/>
    </row>
    <row r="15" customFormat="false" ht="15" hidden="false" customHeight="false" outlineLevel="0" collapsed="false">
      <c r="A15" s="7" t="s">
        <v>46</v>
      </c>
      <c r="B15" s="13" t="n">
        <v>2</v>
      </c>
      <c r="D15" s="9"/>
    </row>
    <row r="16" customFormat="false" ht="15" hidden="false" customHeight="false" outlineLevel="0" collapsed="false">
      <c r="A16" s="7" t="s">
        <v>47</v>
      </c>
      <c r="B16" s="13" t="n">
        <v>4</v>
      </c>
      <c r="D16" s="9"/>
    </row>
    <row r="17" customFormat="false" ht="15" hidden="false" customHeight="false" outlineLevel="0" collapsed="false">
      <c r="A17" s="7" t="s">
        <v>48</v>
      </c>
      <c r="B17" s="10" t="n">
        <v>5</v>
      </c>
      <c r="D17" s="9" t="s">
        <v>49</v>
      </c>
    </row>
    <row r="18" customFormat="false" ht="15" hidden="false" customHeight="false" outlineLevel="0" collapsed="false">
      <c r="A18" s="7" t="s">
        <v>50</v>
      </c>
      <c r="B18" s="10" t="n">
        <v>7</v>
      </c>
      <c r="D18" s="9"/>
    </row>
    <row r="19" customFormat="false" ht="15" hidden="false" customHeight="false" outlineLevel="0" collapsed="false">
      <c r="A19" s="7" t="s">
        <v>51</v>
      </c>
      <c r="B19" s="10" t="n">
        <v>3</v>
      </c>
      <c r="D19" s="9"/>
    </row>
    <row r="21" customFormat="false" ht="31.5" hidden="false" customHeight="true" outlineLevel="0" collapsed="false">
      <c r="A21" s="14" t="s">
        <v>52</v>
      </c>
      <c r="B21" s="14"/>
      <c r="C21" s="14"/>
      <c r="D21" s="14"/>
    </row>
  </sheetData>
  <mergeCells count="1">
    <mergeCell ref="A21:D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7"/>
    <col collapsed="false" customWidth="true" hidden="false" outlineLevel="0" max="4" min="4" style="0" width="50"/>
  </cols>
  <sheetData>
    <row r="1" customFormat="false" ht="17.35" hidden="false" customHeight="false" outlineLevel="0" collapsed="false">
      <c r="A1" s="5" t="s">
        <v>53</v>
      </c>
    </row>
    <row r="2" customFormat="false" ht="15" hidden="false" customHeight="false" outlineLevel="0" collapsed="false">
      <c r="A2" s="2" t="s">
        <v>54</v>
      </c>
    </row>
    <row r="4" customFormat="false" ht="30" hidden="false" customHeight="true" outlineLevel="0" collapsed="false">
      <c r="A4" s="6"/>
      <c r="B4" s="6" t="s">
        <v>25</v>
      </c>
      <c r="C4" s="6"/>
      <c r="D4" s="6" t="s">
        <v>55</v>
      </c>
    </row>
    <row r="5" customFormat="false" ht="15" hidden="false" customHeight="false" outlineLevel="0" collapsed="false">
      <c r="A5" s="7" t="s">
        <v>27</v>
      </c>
      <c r="B5" s="15" t="n">
        <f aca="false">'1. The Inputs'!B5</f>
        <v>600</v>
      </c>
      <c r="D5" s="9"/>
    </row>
    <row r="6" customFormat="false" ht="15" hidden="false" customHeight="false" outlineLevel="0" collapsed="false">
      <c r="A6" s="7" t="s">
        <v>56</v>
      </c>
      <c r="B6" s="15" t="n">
        <f aca="false">IFERROR(B5/(1+'1. The Inputs'!B7),"")</f>
        <v>300</v>
      </c>
      <c r="D6" s="9" t="s">
        <v>57</v>
      </c>
    </row>
    <row r="7" customFormat="false" ht="15" hidden="false" customHeight="false" outlineLevel="0" collapsed="false">
      <c r="A7" s="7" t="s">
        <v>58</v>
      </c>
      <c r="B7" s="15" t="n">
        <f aca="false">B5-B6</f>
        <v>300</v>
      </c>
      <c r="D7" s="9" t="s">
        <v>59</v>
      </c>
    </row>
    <row r="8" customFormat="false" ht="15" hidden="false" customHeight="false" outlineLevel="0" collapsed="false">
      <c r="A8" s="7" t="s">
        <v>29</v>
      </c>
      <c r="B8" s="16" t="n">
        <f aca="false">'1. The Inputs'!B6</f>
        <v>15</v>
      </c>
      <c r="D8" s="9"/>
    </row>
    <row r="9" customFormat="false" ht="15" hidden="false" customHeight="false" outlineLevel="0" collapsed="false">
      <c r="A9" s="17" t="s">
        <v>60</v>
      </c>
      <c r="B9" s="18" t="n">
        <f aca="false">IFERROR(B6/B8,"")</f>
        <v>20</v>
      </c>
      <c r="D9" s="9" t="s">
        <v>61</v>
      </c>
    </row>
    <row r="10" customFormat="false" ht="15" hidden="false" customHeight="false" outlineLevel="0" collapsed="false">
      <c r="A10" s="7" t="s">
        <v>33</v>
      </c>
      <c r="B10" s="19" t="n">
        <f aca="false">'1. The Inputs'!B8</f>
        <v>0.15</v>
      </c>
      <c r="D10" s="9"/>
    </row>
    <row r="11" customFormat="false" ht="15" hidden="false" customHeight="false" outlineLevel="0" collapsed="false">
      <c r="A11" s="17" t="s">
        <v>62</v>
      </c>
      <c r="B11" s="18" t="n">
        <f aca="false">IFERROR(B9/B10,"")</f>
        <v>133.333333333333</v>
      </c>
      <c r="D11" s="9" t="s">
        <v>63</v>
      </c>
    </row>
    <row r="13" customFormat="false" ht="15" hidden="false" customHeight="false" outlineLevel="0" collapsed="false">
      <c r="A13" s="4" t="s">
        <v>64</v>
      </c>
    </row>
    <row r="14" customFormat="false" ht="30" hidden="false" customHeight="true" outlineLevel="0" collapsed="false">
      <c r="A14" s="6"/>
      <c r="B14" s="6" t="s">
        <v>65</v>
      </c>
      <c r="C14" s="6" t="s">
        <v>66</v>
      </c>
      <c r="D14" s="6" t="s">
        <v>67</v>
      </c>
    </row>
    <row r="15" customFormat="false" ht="15" hidden="false" customHeight="false" outlineLevel="0" collapsed="false">
      <c r="A15" s="7" t="s">
        <v>68</v>
      </c>
      <c r="B15" s="20" t="n">
        <f aca="false">B11</f>
        <v>133.333333333333</v>
      </c>
      <c r="C15" s="19" t="n">
        <f aca="false">'1. The Inputs'!B8</f>
        <v>0.15</v>
      </c>
      <c r="D15" s="9" t="s">
        <v>69</v>
      </c>
    </row>
    <row r="16" customFormat="false" ht="15" hidden="false" customHeight="false" outlineLevel="0" collapsed="false">
      <c r="A16" s="17" t="s">
        <v>70</v>
      </c>
      <c r="B16" s="20" t="n">
        <f aca="false">IFERROR(B15*'1. The Inputs'!B9,"")</f>
        <v>333.333333333333</v>
      </c>
      <c r="C16" s="19" t="n">
        <f aca="false">'1. The Inputs'!B10</f>
        <v>0.2</v>
      </c>
      <c r="D16" s="20" t="n">
        <f aca="false">IFERROR(B16*C16,"")</f>
        <v>66.6666666666667</v>
      </c>
    </row>
    <row r="17" customFormat="false" ht="15" hidden="false" customHeight="false" outlineLevel="0" collapsed="false">
      <c r="A17" s="17" t="s">
        <v>71</v>
      </c>
      <c r="B17" s="20" t="n">
        <f aca="false">IFERROR(B16*'1. The Inputs'!B11,"")</f>
        <v>666.666666666667</v>
      </c>
      <c r="C17" s="19" t="n">
        <f aca="false">'1. The Inputs'!B12</f>
        <v>0.15</v>
      </c>
      <c r="D17" s="20" t="n">
        <f aca="false">IFERROR(B17*C17,"")</f>
        <v>100</v>
      </c>
    </row>
    <row r="19" customFormat="false" ht="31.5" hidden="false" customHeight="true" outlineLevel="0" collapsed="false">
      <c r="A19" s="14" t="s">
        <v>72</v>
      </c>
      <c r="B19" s="14"/>
      <c r="C19" s="14"/>
      <c r="D19" s="14"/>
    </row>
  </sheetData>
  <mergeCells count="1">
    <mergeCell ref="A19:D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7"/>
    <col collapsed="false" customWidth="true" hidden="false" outlineLevel="0" max="5" min="5" style="0" width="46"/>
  </cols>
  <sheetData>
    <row r="1" customFormat="false" ht="17.35" hidden="false" customHeight="false" outlineLevel="0" collapsed="false">
      <c r="A1" s="5" t="s">
        <v>73</v>
      </c>
    </row>
    <row r="2" customFormat="false" ht="15" hidden="false" customHeight="false" outlineLevel="0" collapsed="false">
      <c r="A2" s="2" t="s">
        <v>74</v>
      </c>
    </row>
    <row r="4" customFormat="false" ht="30" hidden="false" customHeight="true" outlineLevel="0" collapsed="false">
      <c r="A4" s="6"/>
      <c r="B4" s="6" t="s">
        <v>67</v>
      </c>
      <c r="C4" s="6" t="s">
        <v>75</v>
      </c>
      <c r="D4" s="6" t="s">
        <v>76</v>
      </c>
      <c r="E4" s="6"/>
    </row>
    <row r="5" customFormat="false" ht="15" hidden="false" customHeight="false" outlineLevel="0" collapsed="false">
      <c r="A5" s="7" t="s">
        <v>70</v>
      </c>
      <c r="B5" s="20" t="n">
        <f aca="false">IFERROR('2. The Fund'!D16,"")</f>
        <v>66.6666666666667</v>
      </c>
      <c r="C5" s="21" t="n">
        <f aca="false">IFERROR('2. The Fund'!B10*B5,"")</f>
        <v>10</v>
      </c>
      <c r="D5" s="22" t="n">
        <f aca="false">IFERROR(C5/'2. The Fund'!B9,"")</f>
        <v>0.5</v>
      </c>
    </row>
    <row r="6" customFormat="false" ht="15" hidden="false" customHeight="false" outlineLevel="0" collapsed="false">
      <c r="A6" s="7" t="s">
        <v>71</v>
      </c>
      <c r="B6" s="20" t="n">
        <f aca="false">IFERROR('2. The Fund'!D17,"")</f>
        <v>100</v>
      </c>
      <c r="C6" s="21" t="n">
        <f aca="false">IFERROR('2. The Fund'!B10*B6,"")</f>
        <v>15</v>
      </c>
      <c r="D6" s="22" t="n">
        <f aca="false">IFERROR(C6/'2. The Fund'!B9,"")</f>
        <v>0.75</v>
      </c>
    </row>
    <row r="7" customFormat="false" ht="15" hidden="false" customHeight="false" outlineLevel="0" collapsed="false">
      <c r="A7" s="17" t="s">
        <v>77</v>
      </c>
      <c r="C7" s="18" t="n">
        <f aca="false">C5+C6</f>
        <v>25</v>
      </c>
      <c r="D7" s="23" t="n">
        <f aca="false">IFERROR(C7/'2. The Fund'!B9,"")</f>
        <v>1.25</v>
      </c>
    </row>
    <row r="9" customFormat="false" ht="48" hidden="false" customHeight="true" outlineLevel="0" collapsed="false">
      <c r="A9" s="14" t="s">
        <v>78</v>
      </c>
      <c r="B9" s="14"/>
      <c r="C9" s="14"/>
      <c r="D9" s="14"/>
      <c r="E9" s="14"/>
    </row>
    <row r="12" customFormat="false" ht="15" hidden="false" customHeight="false" outlineLevel="0" collapsed="false">
      <c r="A12" s="4" t="s">
        <v>79</v>
      </c>
    </row>
    <row r="13" customFormat="false" ht="45.75" hidden="false" customHeight="true" outlineLevel="0" collapsed="false">
      <c r="A13" s="14" t="s">
        <v>80</v>
      </c>
      <c r="B13" s="14"/>
      <c r="C13" s="14"/>
      <c r="D13" s="14"/>
      <c r="E13" s="14"/>
    </row>
    <row r="16" customFormat="false" ht="30" hidden="false" customHeight="true" outlineLevel="0" collapsed="false">
      <c r="A16" s="6" t="s">
        <v>81</v>
      </c>
      <c r="B16" s="6" t="s">
        <v>82</v>
      </c>
      <c r="C16" s="6"/>
      <c r="D16" s="6"/>
      <c r="E16" s="6"/>
    </row>
    <row r="17" customFormat="false" ht="15" hidden="false" customHeight="false" outlineLevel="0" collapsed="false">
      <c r="A17" s="12" t="n">
        <v>0.1</v>
      </c>
      <c r="B17" s="22" t="n">
        <f aca="false">IFERROR(1/A17,"")</f>
        <v>10</v>
      </c>
    </row>
    <row r="18" customFormat="false" ht="15" hidden="false" customHeight="false" outlineLevel="0" collapsed="false">
      <c r="A18" s="12" t="n">
        <v>0.15</v>
      </c>
      <c r="B18" s="22" t="n">
        <f aca="false">IFERROR(1/A18,"")</f>
        <v>6.66666666666667</v>
      </c>
    </row>
    <row r="19" customFormat="false" ht="15" hidden="false" customHeight="false" outlineLevel="0" collapsed="false">
      <c r="A19" s="12" t="n">
        <v>0.2</v>
      </c>
      <c r="B19" s="22" t="n">
        <f aca="false">IFERROR(1/A19,"")</f>
        <v>5</v>
      </c>
    </row>
    <row r="20" customFormat="false" ht="15" hidden="false" customHeight="false" outlineLevel="0" collapsed="false">
      <c r="A20" s="12" t="n">
        <v>0.25</v>
      </c>
      <c r="B20" s="22" t="n">
        <f aca="false">IFERROR(1/A20,"")</f>
        <v>4</v>
      </c>
    </row>
    <row r="21" customFormat="false" ht="15" hidden="false" customHeight="false" outlineLevel="0" collapsed="false">
      <c r="A21" s="12" t="n">
        <v>0.3</v>
      </c>
      <c r="B21" s="22" t="n">
        <f aca="false">IFERROR(1/A21,"")</f>
        <v>3.33333333333333</v>
      </c>
    </row>
    <row r="23" customFormat="false" ht="15" hidden="false" customHeight="false" outlineLevel="0" collapsed="false">
      <c r="A23" s="17" t="s">
        <v>83</v>
      </c>
      <c r="B23" s="23" t="n">
        <f aca="false">IFERROR('2. The Fund'!B17/'2. The Fund'!B15,"")</f>
        <v>5</v>
      </c>
    </row>
    <row r="25" customFormat="false" ht="39.75" hidden="false" customHeight="true" outlineLevel="0" collapsed="false">
      <c r="A25" s="14" t="s">
        <v>84</v>
      </c>
      <c r="B25" s="14"/>
      <c r="C25" s="14"/>
      <c r="D25" s="14"/>
      <c r="E25" s="14"/>
    </row>
  </sheetData>
  <mergeCells count="3">
    <mergeCell ref="A9:E9"/>
    <mergeCell ref="A13:E13"/>
    <mergeCell ref="A25:E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4" min="2" style="0" width="17"/>
    <col collapsed="false" customWidth="true" hidden="false" outlineLevel="0" max="5" min="5" style="0" width="48"/>
  </cols>
  <sheetData>
    <row r="1" customFormat="false" ht="17.35" hidden="false" customHeight="false" outlineLevel="0" collapsed="false">
      <c r="A1" s="5" t="s">
        <v>85</v>
      </c>
    </row>
    <row r="2" customFormat="false" ht="15" hidden="false" customHeight="false" outlineLevel="0" collapsed="false">
      <c r="A2" s="2" t="s">
        <v>86</v>
      </c>
    </row>
    <row r="4" customFormat="false" ht="30" hidden="false" customHeight="true" outlineLevel="0" collapsed="false">
      <c r="A4" s="6"/>
      <c r="B4" s="6" t="s">
        <v>87</v>
      </c>
      <c r="C4" s="6" t="s">
        <v>88</v>
      </c>
      <c r="D4" s="6"/>
      <c r="E4" s="6"/>
    </row>
    <row r="5" customFormat="false" ht="15" hidden="false" customHeight="false" outlineLevel="0" collapsed="false">
      <c r="A5" s="7" t="s">
        <v>89</v>
      </c>
      <c r="B5" s="24" t="n">
        <f aca="false">IFERROR('2. The Fund'!B10*(1-'2. The Fund'!C16)*(1-'2. The Fund'!C17),"")</f>
        <v>0.102</v>
      </c>
      <c r="C5" s="24" t="n">
        <f aca="false">IFERROR('2. The Fund'!B10,"")</f>
        <v>0.15</v>
      </c>
    </row>
    <row r="6" customFormat="false" ht="15" hidden="false" customHeight="false" outlineLevel="0" collapsed="false">
      <c r="A6" s="7" t="s">
        <v>90</v>
      </c>
      <c r="B6" s="15" t="n">
        <f aca="false">IFERROR('2. The Fund'!B9,"")</f>
        <v>20</v>
      </c>
      <c r="C6" s="15" t="n">
        <f aca="false">IFERROR('2. The Fund'!B9+'3. The Pro Rata Cheque'!C7,"")</f>
        <v>45</v>
      </c>
    </row>
    <row r="7" customFormat="false" ht="15" hidden="false" customHeight="false" outlineLevel="0" collapsed="false">
      <c r="A7" s="7" t="s">
        <v>91</v>
      </c>
      <c r="B7" s="20" t="n">
        <f aca="false">IFERROR(B5*'1. The Inputs'!B13,"")</f>
        <v>153</v>
      </c>
      <c r="C7" s="20" t="n">
        <f aca="false">IFERROR(C5*'1. The Inputs'!B13,"")</f>
        <v>225</v>
      </c>
    </row>
    <row r="8" customFormat="false" ht="15" hidden="false" customHeight="false" outlineLevel="0" collapsed="false">
      <c r="A8" s="7" t="s">
        <v>92</v>
      </c>
      <c r="B8" s="20" t="n">
        <f aca="false">B7-B6</f>
        <v>133</v>
      </c>
      <c r="C8" s="20" t="n">
        <f aca="false">C7-C6</f>
        <v>180</v>
      </c>
    </row>
    <row r="9" customFormat="false" ht="15" hidden="false" customHeight="false" outlineLevel="0" collapsed="false">
      <c r="A9" s="17" t="s">
        <v>93</v>
      </c>
      <c r="B9" s="23" t="n">
        <f aca="false">IFERROR(B7/B6,"")</f>
        <v>7.65</v>
      </c>
      <c r="C9" s="23" t="n">
        <f aca="false">IFERROR(C7/C6,"")</f>
        <v>5</v>
      </c>
    </row>
    <row r="10" customFormat="false" ht="15" hidden="false" customHeight="false" outlineLevel="0" collapsed="false">
      <c r="A10" s="17" t="s">
        <v>94</v>
      </c>
      <c r="B10" s="25" t="n">
        <f aca="false">IFERROR((B7/B6)^(1/'1. The Inputs'!B14)-1,"")</f>
        <v>0.403708422807709</v>
      </c>
      <c r="C10" s="25" t="n">
        <f aca="false">IFERROR(IRR(C13:I13),"")</f>
        <v>0.408162869795191</v>
      </c>
    </row>
    <row r="12" customFormat="false" ht="30" hidden="false" customHeight="true" outlineLevel="0" collapsed="false">
      <c r="A12" s="6"/>
      <c r="B12" s="6"/>
      <c r="C12" s="6" t="s">
        <v>95</v>
      </c>
      <c r="D12" s="6" t="s">
        <v>96</v>
      </c>
      <c r="E12" s="6" t="s">
        <v>97</v>
      </c>
      <c r="F12" s="6" t="s">
        <v>98</v>
      </c>
      <c r="G12" s="6" t="s">
        <v>99</v>
      </c>
      <c r="H12" s="6" t="s">
        <v>100</v>
      </c>
      <c r="I12" s="6" t="s">
        <v>101</v>
      </c>
    </row>
    <row r="13" customFormat="false" ht="15" hidden="false" customHeight="false" outlineLevel="0" collapsed="false">
      <c r="A13" s="7" t="s">
        <v>102</v>
      </c>
      <c r="C13" s="26" t="n">
        <f aca="false">-'2. The Fund'!B9</f>
        <v>-20</v>
      </c>
      <c r="D13" s="26" t="n">
        <f aca="false">IF(1='1. The Inputs'!B15,-'3. The Pro Rata Cheque'!C5,0)+IF(1='1. The Inputs'!B16,-'3. The Pro Rata Cheque'!C6,0)+IF(1='1. The Inputs'!B14,C7,0)</f>
        <v>0</v>
      </c>
      <c r="E13" s="26" t="n">
        <f aca="false">IF(2='1. The Inputs'!B15,-'3. The Pro Rata Cheque'!C5,0)+IF(2='1. The Inputs'!B16,-'3. The Pro Rata Cheque'!C6,0)+IF(2='1. The Inputs'!B14,C7,0)</f>
        <v>-10</v>
      </c>
      <c r="F13" s="26" t="n">
        <f aca="false">IF(3='1. The Inputs'!B15,-'3. The Pro Rata Cheque'!C5,0)+IF(3='1. The Inputs'!B16,-'3. The Pro Rata Cheque'!C6,0)+IF(3='1. The Inputs'!B14,C7,0)</f>
        <v>0</v>
      </c>
      <c r="G13" s="26" t="n">
        <f aca="false">IF(4='1. The Inputs'!B15,-'3. The Pro Rata Cheque'!C5,0)+IF(4='1. The Inputs'!B16,-'3. The Pro Rata Cheque'!C6,0)+IF(4='1. The Inputs'!B14,C7,0)</f>
        <v>-15</v>
      </c>
      <c r="H13" s="26" t="n">
        <f aca="false">IF(5='1. The Inputs'!B15,-'3. The Pro Rata Cheque'!C5,0)+IF(5='1. The Inputs'!B16,-'3. The Pro Rata Cheque'!C6,0)+IF(5='1. The Inputs'!B14,C7,0)</f>
        <v>0</v>
      </c>
      <c r="I13" s="26" t="n">
        <f aca="false">IF(6='1. The Inputs'!B15,-'3. The Pro Rata Cheque'!C5,0)+IF(6='1. The Inputs'!B16,-'3. The Pro Rata Cheque'!C6,0)+IF(6='1. The Inputs'!B14,C7,0)</f>
        <v>225</v>
      </c>
    </row>
    <row r="15" customFormat="false" ht="15" hidden="false" customHeight="false" outlineLevel="0" collapsed="false">
      <c r="A15" s="17" t="s">
        <v>103</v>
      </c>
    </row>
    <row r="16" customFormat="false" ht="30" hidden="false" customHeight="true" outlineLevel="0" collapsed="false">
      <c r="A16" s="6"/>
      <c r="B16" s="6" t="s">
        <v>25</v>
      </c>
      <c r="C16" s="6"/>
      <c r="D16" s="6"/>
    </row>
    <row r="17" customFormat="false" ht="15" hidden="false" customHeight="false" outlineLevel="0" collapsed="false">
      <c r="A17" s="7" t="s">
        <v>104</v>
      </c>
      <c r="B17" s="27" t="n">
        <f aca="false">C5-B5</f>
        <v>0.048</v>
      </c>
    </row>
    <row r="18" customFormat="false" ht="15" hidden="false" customHeight="false" outlineLevel="0" collapsed="false">
      <c r="A18" s="7" t="s">
        <v>105</v>
      </c>
      <c r="B18" s="15" t="n">
        <f aca="false">'3. The Pro Rata Cheque'!C7</f>
        <v>25</v>
      </c>
    </row>
    <row r="19" customFormat="false" ht="15" hidden="false" customHeight="false" outlineLevel="0" collapsed="false">
      <c r="A19" s="7" t="s">
        <v>106</v>
      </c>
      <c r="B19" s="20" t="n">
        <f aca="false">IFERROR(B17*'1. The Inputs'!B13,"")</f>
        <v>72</v>
      </c>
    </row>
    <row r="20" customFormat="false" ht="15" hidden="false" customHeight="false" outlineLevel="0" collapsed="false">
      <c r="A20" s="17" t="s">
        <v>107</v>
      </c>
      <c r="B20" s="23" t="n">
        <f aca="false">IFERROR(B19/B18,"")</f>
        <v>2.88</v>
      </c>
    </row>
    <row r="22" customFormat="false" ht="15" hidden="false" customHeight="false" outlineLevel="0" collapsed="false">
      <c r="A22" s="17" t="s">
        <v>108</v>
      </c>
      <c r="B22" s="28" t="n">
        <f aca="false">C8-B8</f>
        <v>47</v>
      </c>
    </row>
    <row r="24" customFormat="false" ht="55.5" hidden="false" customHeight="true" outlineLevel="0" collapsed="false">
      <c r="A24" s="14" t="s">
        <v>109</v>
      </c>
      <c r="B24" s="14"/>
      <c r="C24" s="14"/>
      <c r="D24" s="14"/>
      <c r="E24" s="14"/>
    </row>
    <row r="26" customFormat="false" ht="39.75" hidden="false" customHeight="true" outlineLevel="0" collapsed="false">
      <c r="A26" s="14" t="s">
        <v>110</v>
      </c>
      <c r="B26" s="14"/>
      <c r="C26" s="14"/>
      <c r="D26" s="14"/>
      <c r="E26" s="14"/>
    </row>
  </sheetData>
  <mergeCells count="2">
    <mergeCell ref="A24:E24"/>
    <mergeCell ref="A26:E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5" min="2" style="0" width="19"/>
    <col collapsed="false" customWidth="true" hidden="false" outlineLevel="0" max="6" min="6" style="0" width="44"/>
  </cols>
  <sheetData>
    <row r="1" customFormat="false" ht="17.35" hidden="false" customHeight="false" outlineLevel="0" collapsed="false">
      <c r="A1" s="5" t="s">
        <v>111</v>
      </c>
    </row>
    <row r="2" customFormat="false" ht="15" hidden="false" customHeight="false" outlineLevel="0" collapsed="false">
      <c r="A2" s="2" t="s">
        <v>112</v>
      </c>
    </row>
    <row r="4" customFormat="false" ht="15" hidden="false" customHeight="false" outlineLevel="0" collapsed="false">
      <c r="A4" s="17" t="s">
        <v>113</v>
      </c>
      <c r="C4" s="28" t="n">
        <f aca="false">IFERROR('3. The Pro Rata Cheque'!C7/('4. Defended or Not'!C5-'4. Defended or Not'!B5),"")</f>
        <v>520.833333333333</v>
      </c>
    </row>
    <row r="5" customFormat="false" ht="15" hidden="false" customHeight="false" outlineLevel="0" collapsed="false">
      <c r="A5" s="17" t="s">
        <v>114</v>
      </c>
      <c r="C5" s="23" t="n">
        <f aca="false">IFERROR('4. Defended or Not'!B5*C4/'2. The Fund'!B9,"")</f>
        <v>2.65625</v>
      </c>
    </row>
    <row r="6" customFormat="false" ht="15" hidden="false" customHeight="false" outlineLevel="0" collapsed="false">
      <c r="A6" s="17" t="s">
        <v>115</v>
      </c>
      <c r="C6" s="22" t="n">
        <f aca="false">IFERROR(C4/'2. The Fund'!B15,"")</f>
        <v>3.90625</v>
      </c>
      <c r="D6" s="7" t="s">
        <v>116</v>
      </c>
    </row>
    <row r="9" customFormat="false" ht="30" hidden="false" customHeight="true" outlineLevel="0" collapsed="false">
      <c r="A9" s="6" t="s">
        <v>117</v>
      </c>
      <c r="B9" s="6" t="s">
        <v>118</v>
      </c>
      <c r="C9" s="6" t="s">
        <v>119</v>
      </c>
      <c r="D9" s="6" t="s">
        <v>120</v>
      </c>
      <c r="E9" s="6" t="s">
        <v>121</v>
      </c>
      <c r="F9" s="6"/>
    </row>
    <row r="10" customFormat="false" ht="15" hidden="false" customHeight="false" outlineLevel="0" collapsed="false">
      <c r="A10" s="29" t="n">
        <v>400</v>
      </c>
      <c r="B10" s="30" t="n">
        <f aca="false">IFERROR(('4. Defended or Not'!C5-'4. Defended or Not'!B5)*A10/'3. The Pro Rata Cheque'!C7,"")</f>
        <v>0.768</v>
      </c>
      <c r="C10" s="30" t="n">
        <f aca="false">IFERROR('4. Defended or Not'!B5*A10/'2. The Fund'!B9,"")</f>
        <v>2.04</v>
      </c>
      <c r="D10" s="30" t="n">
        <f aca="false">IFERROR('4. Defended or Not'!C5*A10/'4. Defended or Not'!C6,"")</f>
        <v>1.33333333333333</v>
      </c>
      <c r="E10" s="31" t="n">
        <f aca="false">IFERROR(('4. Defended or Not'!C5*A10-'4. Defended or Not'!C6)-('4. Defended or Not'!B5*A10-'2. The Fund'!B9),"")</f>
        <v>-5.8</v>
      </c>
      <c r="F10" s="9" t="str">
        <f aca="false">IF(B10&lt;1,"the follow-on dollars lost money","")</f>
        <v>the follow-on dollars lost money</v>
      </c>
    </row>
    <row r="11" customFormat="false" ht="15" hidden="false" customHeight="false" outlineLevel="0" collapsed="false">
      <c r="A11" s="29" t="n">
        <v>520.8</v>
      </c>
      <c r="B11" s="30" t="n">
        <f aca="false">IFERROR(('4. Defended or Not'!C5-'4. Defended or Not'!B5)*A11/'3. The Pro Rata Cheque'!C7,"")</f>
        <v>0.999936</v>
      </c>
      <c r="C11" s="30" t="n">
        <f aca="false">IFERROR('4. Defended or Not'!B5*A11/'2. The Fund'!B9,"")</f>
        <v>2.65608</v>
      </c>
      <c r="D11" s="30" t="n">
        <f aca="false">IFERROR('4. Defended or Not'!C5*A11/'4. Defended or Not'!C6,"")</f>
        <v>1.736</v>
      </c>
      <c r="E11" s="31" t="n">
        <f aca="false">IFERROR(('4. Defended or Not'!C5*A11-'4. Defended or Not'!C6)-('4. Defended or Not'!B5*A11-'2. The Fund'!B9),"")</f>
        <v>-0.00160000000000338</v>
      </c>
      <c r="F11" s="9" t="str">
        <f aca="false">IF(B11&lt;1,"the follow-on dollars lost money","")</f>
        <v>the follow-on dollars lost money</v>
      </c>
    </row>
    <row r="12" customFormat="false" ht="15" hidden="false" customHeight="false" outlineLevel="0" collapsed="false">
      <c r="A12" s="29" t="n">
        <v>750</v>
      </c>
      <c r="B12" s="30" t="n">
        <f aca="false">IFERROR(('4. Defended or Not'!C5-'4. Defended or Not'!B5)*A12/'3. The Pro Rata Cheque'!C7,"")</f>
        <v>1.44</v>
      </c>
      <c r="C12" s="30" t="n">
        <f aca="false">IFERROR('4. Defended or Not'!B5*A12/'2. The Fund'!B9,"")</f>
        <v>3.825</v>
      </c>
      <c r="D12" s="30" t="n">
        <f aca="false">IFERROR('4. Defended or Not'!C5*A12/'4. Defended or Not'!C6,"")</f>
        <v>2.5</v>
      </c>
      <c r="E12" s="31" t="n">
        <f aca="false">IFERROR(('4. Defended or Not'!C5*A12-'4. Defended or Not'!C6)-('4. Defended or Not'!B5*A12-'2. The Fund'!B9),"")</f>
        <v>11</v>
      </c>
      <c r="F12" s="9" t="str">
        <f aca="false">IF(B12&lt;1,"the follow-on dollars lost money","")</f>
        <v/>
      </c>
    </row>
    <row r="13" customFormat="false" ht="15" hidden="false" customHeight="false" outlineLevel="0" collapsed="false">
      <c r="A13" s="29" t="n">
        <v>1000</v>
      </c>
      <c r="B13" s="30" t="n">
        <f aca="false">IFERROR(('4. Defended or Not'!C5-'4. Defended or Not'!B5)*A13/'3. The Pro Rata Cheque'!C7,"")</f>
        <v>1.92</v>
      </c>
      <c r="C13" s="30" t="n">
        <f aca="false">IFERROR('4. Defended or Not'!B5*A13/'2. The Fund'!B9,"")</f>
        <v>5.1</v>
      </c>
      <c r="D13" s="30" t="n">
        <f aca="false">IFERROR('4. Defended or Not'!C5*A13/'4. Defended or Not'!C6,"")</f>
        <v>3.33333333333333</v>
      </c>
      <c r="E13" s="31" t="n">
        <f aca="false">IFERROR(('4. Defended or Not'!C5*A13-'4. Defended or Not'!C6)-('4. Defended or Not'!B5*A13-'2. The Fund'!B9),"")</f>
        <v>23</v>
      </c>
      <c r="F13" s="9" t="str">
        <f aca="false">IF(B13&lt;1,"the follow-on dollars lost money","")</f>
        <v/>
      </c>
    </row>
    <row r="14" customFormat="false" ht="15" hidden="false" customHeight="false" outlineLevel="0" collapsed="false">
      <c r="A14" s="29" t="n">
        <v>1500</v>
      </c>
      <c r="B14" s="30" t="n">
        <f aca="false">IFERROR(('4. Defended or Not'!C5-'4. Defended or Not'!B5)*A14/'3. The Pro Rata Cheque'!C7,"")</f>
        <v>2.88</v>
      </c>
      <c r="C14" s="30" t="n">
        <f aca="false">IFERROR('4. Defended or Not'!B5*A14/'2. The Fund'!B9,"")</f>
        <v>7.65</v>
      </c>
      <c r="D14" s="30" t="n">
        <f aca="false">IFERROR('4. Defended or Not'!C5*A14/'4. Defended or Not'!C6,"")</f>
        <v>5</v>
      </c>
      <c r="E14" s="31" t="n">
        <f aca="false">IFERROR(('4. Defended or Not'!C5*A14-'4. Defended or Not'!C6)-('4. Defended or Not'!B5*A14-'2. The Fund'!B9),"")</f>
        <v>47</v>
      </c>
      <c r="F14" s="9" t="str">
        <f aca="false">IF(B14&lt;1,"the follow-on dollars lost money","")</f>
        <v/>
      </c>
    </row>
    <row r="15" customFormat="false" ht="15" hidden="false" customHeight="false" outlineLevel="0" collapsed="false">
      <c r="A15" s="29" t="n">
        <v>2500</v>
      </c>
      <c r="B15" s="30" t="n">
        <f aca="false">IFERROR(('4. Defended or Not'!C5-'4. Defended or Not'!B5)*A15/'3. The Pro Rata Cheque'!C7,"")</f>
        <v>4.8</v>
      </c>
      <c r="C15" s="30" t="n">
        <f aca="false">IFERROR('4. Defended or Not'!B5*A15/'2. The Fund'!B9,"")</f>
        <v>12.75</v>
      </c>
      <c r="D15" s="30" t="n">
        <f aca="false">IFERROR('4. Defended or Not'!C5*A15/'4. Defended or Not'!C6,"")</f>
        <v>8.33333333333333</v>
      </c>
      <c r="E15" s="31" t="n">
        <f aca="false">IFERROR(('4. Defended or Not'!C5*A15-'4. Defended or Not'!C6)-('4. Defended or Not'!B5*A15-'2. The Fund'!B9),"")</f>
        <v>95</v>
      </c>
      <c r="F15" s="9" t="str">
        <f aca="false">IF(B15&lt;1,"the follow-on dollars lost money","")</f>
        <v/>
      </c>
    </row>
    <row r="18" customFormat="false" ht="51.75" hidden="false" customHeight="true" outlineLevel="0" collapsed="false">
      <c r="A18" s="14" t="s">
        <v>122</v>
      </c>
      <c r="B18" s="14"/>
      <c r="C18" s="14"/>
      <c r="D18" s="14"/>
      <c r="E18" s="14"/>
      <c r="F18" s="14"/>
    </row>
    <row r="20" customFormat="false" ht="43.5" hidden="false" customHeight="true" outlineLevel="0" collapsed="false">
      <c r="A20" s="14" t="s">
        <v>123</v>
      </c>
      <c r="B20" s="14"/>
      <c r="C20" s="14"/>
      <c r="D20" s="14"/>
      <c r="E20" s="14"/>
      <c r="F20" s="14"/>
    </row>
    <row r="22" customFormat="false" ht="15" hidden="false" customHeight="false" outlineLevel="0" collapsed="false">
      <c r="A22" s="17" t="s">
        <v>124</v>
      </c>
    </row>
    <row r="23" customFormat="false" ht="31.5" hidden="false" customHeight="true" outlineLevel="0" collapsed="false">
      <c r="A23" s="14" t="s">
        <v>125</v>
      </c>
      <c r="B23" s="14"/>
      <c r="C23" s="14"/>
      <c r="D23" s="14"/>
      <c r="E23" s="14"/>
      <c r="F23" s="14"/>
    </row>
  </sheetData>
  <mergeCells count="3">
    <mergeCell ref="A18:F18"/>
    <mergeCell ref="A20:F20"/>
    <mergeCell ref="A23:F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3" min="2" style="0" width="18"/>
    <col collapsed="false" customWidth="true" hidden="false" outlineLevel="0" max="4" min="4" style="0" width="48"/>
  </cols>
  <sheetData>
    <row r="1" customFormat="false" ht="17.35" hidden="false" customHeight="false" outlineLevel="0" collapsed="false">
      <c r="A1" s="5" t="s">
        <v>126</v>
      </c>
    </row>
    <row r="2" customFormat="false" ht="15" hidden="false" customHeight="false" outlineLevel="0" collapsed="false">
      <c r="A2" s="2" t="s">
        <v>127</v>
      </c>
    </row>
    <row r="4" customFormat="false" ht="15" hidden="false" customHeight="false" outlineLevel="0" collapsed="false">
      <c r="A4" s="4" t="s">
        <v>128</v>
      </c>
    </row>
    <row r="5" customFormat="false" ht="30" hidden="false" customHeight="true" outlineLevel="0" collapsed="false">
      <c r="A5" s="6"/>
      <c r="B5" s="6" t="s">
        <v>129</v>
      </c>
      <c r="C5" s="6" t="s">
        <v>130</v>
      </c>
      <c r="D5" s="6" t="s">
        <v>131</v>
      </c>
    </row>
    <row r="6" customFormat="false" ht="15" hidden="false" customHeight="false" outlineLevel="0" collapsed="false">
      <c r="A6" s="7" t="s">
        <v>132</v>
      </c>
      <c r="B6" s="16" t="n">
        <f aca="false">'1. The Inputs'!B17</f>
        <v>5</v>
      </c>
      <c r="C6" s="15" t="n">
        <v>0</v>
      </c>
      <c r="D6" s="20" t="n">
        <f aca="false">B6*C6</f>
        <v>0</v>
      </c>
    </row>
    <row r="7" customFormat="false" ht="15" hidden="false" customHeight="false" outlineLevel="0" collapsed="false">
      <c r="A7" s="7" t="s">
        <v>133</v>
      </c>
      <c r="B7" s="16" t="n">
        <f aca="false">'1. The Inputs'!B18</f>
        <v>7</v>
      </c>
      <c r="C7" s="15" t="n">
        <f aca="false">'3. The Pro Rata Cheque'!C5</f>
        <v>10</v>
      </c>
      <c r="D7" s="20" t="n">
        <f aca="false">B7*C7</f>
        <v>70</v>
      </c>
    </row>
    <row r="8" customFormat="false" ht="15" hidden="false" customHeight="false" outlineLevel="0" collapsed="false">
      <c r="A8" s="7" t="s">
        <v>134</v>
      </c>
      <c r="B8" s="16" t="n">
        <f aca="false">'1. The Inputs'!B19</f>
        <v>3</v>
      </c>
      <c r="C8" s="15" t="n">
        <f aca="false">'3. The Pro Rata Cheque'!C7</f>
        <v>25</v>
      </c>
      <c r="D8" s="20" t="n">
        <f aca="false">B8*C8</f>
        <v>75</v>
      </c>
    </row>
    <row r="9" customFormat="false" ht="15" hidden="false" customHeight="false" outlineLevel="0" collapsed="false">
      <c r="A9" s="17" t="s">
        <v>135</v>
      </c>
      <c r="B9" s="32" t="n">
        <f aca="false">SUM(B6:B8)</f>
        <v>15</v>
      </c>
      <c r="D9" s="28" t="n">
        <f aca="false">SUM(D6:D8)</f>
        <v>145</v>
      </c>
    </row>
    <row r="10" customFormat="false" ht="15" hidden="false" customHeight="false" outlineLevel="0" collapsed="false">
      <c r="A10" s="7" t="s">
        <v>58</v>
      </c>
      <c r="D10" s="20" t="n">
        <f aca="false">'2. The Fund'!B7</f>
        <v>300</v>
      </c>
    </row>
    <row r="11" customFormat="false" ht="15" hidden="false" customHeight="false" outlineLevel="0" collapsed="false">
      <c r="A11" s="17" t="s">
        <v>136</v>
      </c>
      <c r="D11" s="33" t="n">
        <f aca="false">IFERROR(D9/D10,"")</f>
        <v>0.483333333333333</v>
      </c>
    </row>
    <row r="12" customFormat="false" ht="15" hidden="false" customHeight="false" outlineLevel="0" collapsed="false">
      <c r="A12" s="17" t="s">
        <v>137</v>
      </c>
      <c r="D12" s="34" t="n">
        <f aca="false">D10-D9</f>
        <v>155</v>
      </c>
    </row>
    <row r="14" customFormat="false" ht="39.75" hidden="false" customHeight="true" outlineLevel="0" collapsed="false">
      <c r="A14" s="14" t="s">
        <v>138</v>
      </c>
      <c r="B14" s="14"/>
      <c r="C14" s="14"/>
      <c r="D14" s="14"/>
    </row>
    <row r="17" customFormat="false" ht="15" hidden="false" customHeight="false" outlineLevel="0" collapsed="false">
      <c r="A17" s="4" t="s">
        <v>139</v>
      </c>
    </row>
    <row r="18" customFormat="false" ht="36" hidden="false" customHeight="true" outlineLevel="0" collapsed="false">
      <c r="A18" s="14" t="s">
        <v>140</v>
      </c>
      <c r="B18" s="14"/>
      <c r="C18" s="14"/>
      <c r="D18" s="14"/>
    </row>
    <row r="20" customFormat="false" ht="30" hidden="false" customHeight="true" outlineLevel="0" collapsed="false">
      <c r="A20" s="6"/>
      <c r="B20" s="6" t="s">
        <v>141</v>
      </c>
      <c r="C20" s="6" t="s">
        <v>142</v>
      </c>
      <c r="D20" s="6" t="s">
        <v>143</v>
      </c>
    </row>
    <row r="21" customFormat="false" ht="15" hidden="false" customHeight="false" outlineLevel="0" collapsed="false">
      <c r="A21" s="7" t="s">
        <v>144</v>
      </c>
      <c r="B21" s="16" t="n">
        <f aca="false">IFERROR('1. The Inputs'!B5/'2. The Fund'!B9,"")</f>
        <v>30</v>
      </c>
      <c r="C21" s="27" t="n">
        <f aca="false">'4. Defended or Not'!B5</f>
        <v>0.102</v>
      </c>
      <c r="D21" s="35" t="n">
        <f aca="false">B21*C21</f>
        <v>3.06</v>
      </c>
    </row>
    <row r="22" customFormat="false" ht="15" hidden="false" customHeight="false" outlineLevel="0" collapsed="false">
      <c r="A22" s="7" t="s">
        <v>145</v>
      </c>
      <c r="B22" s="16" t="n">
        <f aca="false">'2. The Fund'!B8</f>
        <v>15</v>
      </c>
      <c r="C22" s="27" t="n">
        <f aca="false">'4. Defended or Not'!C5</f>
        <v>0.15</v>
      </c>
      <c r="D22" s="35" t="n">
        <f aca="false">B22*C22</f>
        <v>2.25</v>
      </c>
    </row>
    <row r="23" customFormat="false" ht="15" hidden="false" customHeight="false" outlineLevel="0" collapsed="false">
      <c r="A23" s="17" t="s">
        <v>146</v>
      </c>
      <c r="D23" s="36" t="n">
        <f aca="false">D21-D22</f>
        <v>0.81</v>
      </c>
    </row>
    <row r="24" customFormat="false" ht="15" hidden="false" customHeight="false" outlineLevel="0" collapsed="false">
      <c r="A24" s="17" t="s">
        <v>147</v>
      </c>
      <c r="D24" s="25" t="n">
        <f aca="false">IFERROR(D21/D22-1,"")</f>
        <v>0.36</v>
      </c>
    </row>
    <row r="26" customFormat="false" ht="15" hidden="false" customHeight="false" outlineLevel="0" collapsed="false">
      <c r="A26" s="4" t="s">
        <v>148</v>
      </c>
    </row>
    <row r="27" customFormat="false" ht="30" hidden="false" customHeight="true" outlineLevel="0" collapsed="false">
      <c r="A27" s="6"/>
      <c r="B27" s="6" t="s">
        <v>25</v>
      </c>
      <c r="C27" s="6"/>
      <c r="D27" s="6"/>
    </row>
    <row r="28" customFormat="false" ht="15" hidden="false" customHeight="false" outlineLevel="0" collapsed="false">
      <c r="A28" s="7" t="s">
        <v>149</v>
      </c>
      <c r="B28" s="35" t="n">
        <f aca="false">D23</f>
        <v>0.81</v>
      </c>
    </row>
    <row r="29" customFormat="false" ht="15" hidden="false" customHeight="false" outlineLevel="0" collapsed="false">
      <c r="A29" s="7" t="s">
        <v>150</v>
      </c>
      <c r="B29" s="20" t="n">
        <f aca="false">IFERROR('2. The Fund'!B9/'4. Defended or Not'!B5,"")</f>
        <v>196.078431372549</v>
      </c>
    </row>
    <row r="30" customFormat="false" ht="15" hidden="false" customHeight="false" outlineLevel="0" collapsed="false">
      <c r="A30" s="7" t="s">
        <v>151</v>
      </c>
      <c r="B30" s="20" t="n">
        <f aca="false">IFERROR(B28*B29,"")</f>
        <v>158.823529411765</v>
      </c>
    </row>
    <row r="31" customFormat="false" ht="15" hidden="false" customHeight="false" outlineLevel="0" collapsed="false">
      <c r="A31" s="7" t="s">
        <v>152</v>
      </c>
      <c r="B31" s="20" t="n">
        <f aca="false">D12</f>
        <v>155</v>
      </c>
    </row>
    <row r="32" customFormat="false" ht="15" hidden="false" customHeight="false" outlineLevel="0" collapsed="false">
      <c r="A32" s="17" t="s">
        <v>153</v>
      </c>
      <c r="B32" s="23" t="n">
        <f aca="false">IFERROR(B30/B31,"")</f>
        <v>1.0246679316888</v>
      </c>
    </row>
    <row r="34" customFormat="false" ht="55.5" hidden="false" customHeight="true" outlineLevel="0" collapsed="false">
      <c r="A34" s="14" t="s">
        <v>154</v>
      </c>
      <c r="B34" s="14"/>
      <c r="C34" s="14"/>
      <c r="D34" s="14"/>
    </row>
    <row r="36" customFormat="false" ht="55.5" hidden="false" customHeight="true" outlineLevel="0" collapsed="false">
      <c r="A36" s="14" t="s">
        <v>155</v>
      </c>
      <c r="B36" s="14"/>
      <c r="C36" s="14"/>
      <c r="D36" s="14"/>
    </row>
  </sheetData>
  <mergeCells count="4">
    <mergeCell ref="A14:D14"/>
    <mergeCell ref="A18:D18"/>
    <mergeCell ref="A34:D34"/>
    <mergeCell ref="A36:D3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3" min="2" style="0" width="17"/>
    <col collapsed="false" customWidth="true" hidden="false" outlineLevel="0" max="5" min="4" style="0" width="16"/>
  </cols>
  <sheetData>
    <row r="1" customFormat="false" ht="17.35" hidden="false" customHeight="false" outlineLevel="0" collapsed="false">
      <c r="A1" s="5" t="s">
        <v>156</v>
      </c>
    </row>
    <row r="2" customFormat="false" ht="15" hidden="false" customHeight="false" outlineLevel="0" collapsed="false">
      <c r="A2" s="2" t="s">
        <v>157</v>
      </c>
    </row>
    <row r="4" customFormat="false" ht="30" hidden="false" customHeight="true" outlineLevel="0" collapsed="false">
      <c r="A4" s="6" t="s">
        <v>158</v>
      </c>
      <c r="B4" s="6" t="s">
        <v>159</v>
      </c>
      <c r="C4" s="6" t="s">
        <v>160</v>
      </c>
      <c r="D4" s="6" t="s">
        <v>161</v>
      </c>
      <c r="E4" s="6" t="s">
        <v>162</v>
      </c>
    </row>
    <row r="5" customFormat="false" ht="15" hidden="false" customHeight="false" outlineLevel="0" collapsed="false">
      <c r="A5" s="7" t="s">
        <v>163</v>
      </c>
      <c r="B5" s="15" t="n">
        <v>20</v>
      </c>
      <c r="C5" s="15" t="n">
        <f aca="false">'2. The Fund'!B9</f>
        <v>20</v>
      </c>
      <c r="D5" s="37" t="str">
        <f aca="false">IF(ISERROR(C5),"CHECK",IF(ABS(C5-B5)&lt;=0.01,"OK","CHECK"))</f>
        <v>OK</v>
      </c>
      <c r="E5" s="9" t="s">
        <v>164</v>
      </c>
    </row>
    <row r="6" customFormat="false" ht="15" hidden="false" customHeight="false" outlineLevel="0" collapsed="false">
      <c r="A6" s="7" t="s">
        <v>165</v>
      </c>
      <c r="B6" s="20" t="n">
        <v>133.3</v>
      </c>
      <c r="C6" s="20" t="n">
        <f aca="false">'2. The Fund'!B11</f>
        <v>133.333333333333</v>
      </c>
      <c r="D6" s="37" t="str">
        <f aca="false">IF(ISERROR(C6),"CHECK",IF(ABS(C6-B6)&lt;=0.1,"OK","CHECK"))</f>
        <v>OK</v>
      </c>
      <c r="E6" s="9" t="s">
        <v>166</v>
      </c>
    </row>
    <row r="7" customFormat="false" ht="15" hidden="false" customHeight="false" outlineLevel="0" collapsed="false">
      <c r="A7" s="7" t="s">
        <v>167</v>
      </c>
      <c r="B7" s="15" t="n">
        <v>10</v>
      </c>
      <c r="C7" s="15" t="n">
        <f aca="false">'3. The Pro Rata Cheque'!C5</f>
        <v>10</v>
      </c>
      <c r="D7" s="37" t="str">
        <f aca="false">IF(ISERROR(C7),"CHECK",IF(ABS(C7-B7)&lt;=0.02,"OK","CHECK"))</f>
        <v>OK</v>
      </c>
      <c r="E7" s="9" t="s">
        <v>168</v>
      </c>
    </row>
    <row r="8" customFormat="false" ht="15" hidden="false" customHeight="false" outlineLevel="0" collapsed="false">
      <c r="A8" s="7" t="s">
        <v>169</v>
      </c>
      <c r="B8" s="15" t="n">
        <v>15</v>
      </c>
      <c r="C8" s="15" t="n">
        <f aca="false">'3. The Pro Rata Cheque'!C6</f>
        <v>15</v>
      </c>
      <c r="D8" s="37" t="str">
        <f aca="false">IF(ISERROR(C8),"CHECK",IF(ABS(C8-B8)&lt;=0.02,"OK","CHECK"))</f>
        <v>OK</v>
      </c>
      <c r="E8" s="9" t="s">
        <v>168</v>
      </c>
    </row>
    <row r="9" customFormat="false" ht="15" hidden="false" customHeight="false" outlineLevel="0" collapsed="false">
      <c r="A9" s="7" t="s">
        <v>170</v>
      </c>
      <c r="B9" s="30" t="n">
        <v>1.25</v>
      </c>
      <c r="C9" s="30" t="n">
        <f aca="false">'3. The Pro Rata Cheque'!D7</f>
        <v>1.25</v>
      </c>
      <c r="D9" s="37" t="str">
        <f aca="false">IF(ISERROR(C9),"CHECK",IF(ABS(C9-B9)&lt;=0.005,"OK","CHECK"))</f>
        <v>OK</v>
      </c>
      <c r="E9" s="9" t="s">
        <v>171</v>
      </c>
    </row>
    <row r="10" customFormat="false" ht="15" hidden="false" customHeight="false" outlineLevel="0" collapsed="false">
      <c r="A10" s="7" t="s">
        <v>172</v>
      </c>
      <c r="B10" s="30" t="n">
        <v>5</v>
      </c>
      <c r="C10" s="30" t="n">
        <f aca="false">'3. The Pro Rata Cheque'!B19</f>
        <v>5</v>
      </c>
      <c r="D10" s="37" t="str">
        <f aca="false">IF(ISERROR(C10),"CHECK",IF(ABS(C10-B10)&lt;=0.01,"OK","CHECK"))</f>
        <v>OK</v>
      </c>
      <c r="E10" s="9" t="s">
        <v>164</v>
      </c>
    </row>
    <row r="11" customFormat="false" ht="15" hidden="false" customHeight="false" outlineLevel="0" collapsed="false">
      <c r="A11" s="7" t="s">
        <v>173</v>
      </c>
      <c r="B11" s="27" t="n">
        <v>0.102</v>
      </c>
      <c r="C11" s="27" t="n">
        <f aca="false">'4. Defended or Not'!B5</f>
        <v>0.102</v>
      </c>
      <c r="D11" s="37" t="str">
        <f aca="false">IF(ISERROR(C11),"CHECK",IF(ABS(C11-B11)&lt;=0.0005,"OK","CHECK"))</f>
        <v>OK</v>
      </c>
      <c r="E11" s="9" t="s">
        <v>174</v>
      </c>
    </row>
    <row r="12" customFormat="false" ht="15" hidden="false" customHeight="false" outlineLevel="0" collapsed="false">
      <c r="A12" s="7" t="s">
        <v>175</v>
      </c>
      <c r="B12" s="30" t="n">
        <v>7.65</v>
      </c>
      <c r="C12" s="30" t="n">
        <f aca="false">'4. Defended or Not'!B9</f>
        <v>7.65</v>
      </c>
      <c r="D12" s="37" t="str">
        <f aca="false">IF(ISERROR(C12),"CHECK",IF(ABS(C12-B12)&lt;=0.02,"OK","CHECK"))</f>
        <v>OK</v>
      </c>
      <c r="E12" s="9" t="s">
        <v>168</v>
      </c>
    </row>
    <row r="13" customFormat="false" ht="15" hidden="false" customHeight="false" outlineLevel="0" collapsed="false">
      <c r="A13" s="7" t="s">
        <v>176</v>
      </c>
      <c r="B13" s="30" t="n">
        <v>5</v>
      </c>
      <c r="C13" s="30" t="n">
        <f aca="false">'4. Defended or Not'!C9</f>
        <v>5</v>
      </c>
      <c r="D13" s="37" t="str">
        <f aca="false">IF(ISERROR(C13),"CHECK",IF(ABS(C13-B13)&lt;=0.02,"OK","CHECK"))</f>
        <v>OK</v>
      </c>
      <c r="E13" s="9" t="s">
        <v>168</v>
      </c>
    </row>
    <row r="14" customFormat="false" ht="15" hidden="false" customHeight="false" outlineLevel="0" collapsed="false">
      <c r="A14" s="7" t="s">
        <v>177</v>
      </c>
      <c r="B14" s="19" t="n">
        <v>0.404</v>
      </c>
      <c r="C14" s="19" t="n">
        <f aca="false">'4. Defended or Not'!B10</f>
        <v>0.403708422807709</v>
      </c>
      <c r="D14" s="37" t="str">
        <f aca="false">IF(ISERROR(C14),"CHECK",IF(ABS(C14-B14)&lt;=0.003,"OK","CHECK"))</f>
        <v>OK</v>
      </c>
      <c r="E14" s="9" t="s">
        <v>178</v>
      </c>
    </row>
    <row r="15" customFormat="false" ht="15" hidden="false" customHeight="false" outlineLevel="0" collapsed="false">
      <c r="A15" s="7" t="s">
        <v>179</v>
      </c>
      <c r="B15" s="19" t="n">
        <v>0.408</v>
      </c>
      <c r="C15" s="19" t="n">
        <f aca="false">'4. Defended or Not'!C10</f>
        <v>0.408162869795191</v>
      </c>
      <c r="D15" s="37" t="str">
        <f aca="false">IF(ISERROR(C15),"CHECK",IF(ABS(C15-B15)&lt;=0.004,"OK","CHECK"))</f>
        <v>OK</v>
      </c>
      <c r="E15" s="9" t="s">
        <v>180</v>
      </c>
    </row>
    <row r="16" customFormat="false" ht="15" hidden="false" customHeight="false" outlineLevel="0" collapsed="false">
      <c r="A16" s="7" t="s">
        <v>181</v>
      </c>
      <c r="B16" s="30" t="n">
        <v>2.88</v>
      </c>
      <c r="C16" s="30" t="n">
        <f aca="false">'4. Defended or Not'!B20</f>
        <v>2.88</v>
      </c>
      <c r="D16" s="37" t="str">
        <f aca="false">IF(ISERROR(C16),"CHECK",IF(ABS(C16-B16)&lt;=0.02,"OK","CHECK"))</f>
        <v>OK</v>
      </c>
      <c r="E16" s="9" t="s">
        <v>168</v>
      </c>
    </row>
    <row r="17" customFormat="false" ht="15" hidden="false" customHeight="false" outlineLevel="0" collapsed="false">
      <c r="A17" s="7" t="s">
        <v>121</v>
      </c>
      <c r="B17" s="20" t="n">
        <v>47</v>
      </c>
      <c r="C17" s="20" t="n">
        <f aca="false">'4. Defended or Not'!B22</f>
        <v>47</v>
      </c>
      <c r="D17" s="37" t="str">
        <f aca="false">IF(ISERROR(C17),"CHECK",IF(ABS(C17-B17)&lt;=0.2,"OK","CHECK"))</f>
        <v>OK</v>
      </c>
      <c r="E17" s="9" t="s">
        <v>182</v>
      </c>
    </row>
    <row r="18" customFormat="false" ht="15" hidden="false" customHeight="false" outlineLevel="0" collapsed="false">
      <c r="A18" s="7" t="s">
        <v>183</v>
      </c>
      <c r="B18" s="20" t="n">
        <v>520.8</v>
      </c>
      <c r="C18" s="20" t="n">
        <f aca="false">'5. Where Defending Loses'!C4</f>
        <v>520.833333333333</v>
      </c>
      <c r="D18" s="37" t="str">
        <f aca="false">IF(ISERROR(C18),"CHECK",IF(ABS(C18-B18)&lt;=0.6,"OK","CHECK"))</f>
        <v>OK</v>
      </c>
      <c r="E18" s="9" t="s">
        <v>184</v>
      </c>
    </row>
    <row r="19" customFormat="false" ht="15" hidden="false" customHeight="false" outlineLevel="0" collapsed="false">
      <c r="A19" s="7" t="s">
        <v>185</v>
      </c>
      <c r="B19" s="30" t="n">
        <v>2.66</v>
      </c>
      <c r="C19" s="30" t="n">
        <f aca="false">'5. Where Defending Loses'!C5</f>
        <v>2.65625</v>
      </c>
      <c r="D19" s="37" t="str">
        <f aca="false">IF(ISERROR(C19),"CHECK",IF(ABS(C19-B19)&lt;=0.02,"OK","CHECK"))</f>
        <v>OK</v>
      </c>
      <c r="E19" s="9" t="s">
        <v>168</v>
      </c>
    </row>
    <row r="20" customFormat="false" ht="15" hidden="false" customHeight="false" outlineLevel="0" collapsed="false">
      <c r="A20" s="7" t="s">
        <v>186</v>
      </c>
      <c r="B20" s="20" t="n">
        <v>145</v>
      </c>
      <c r="C20" s="20" t="n">
        <f aca="false">'6. Reserves or Picking Winners'!D9</f>
        <v>145</v>
      </c>
      <c r="D20" s="37" t="str">
        <f aca="false">IF(ISERROR(C20),"CHECK",IF(ABS(C20-B20)&lt;=0.6,"OK","CHECK"))</f>
        <v>OK</v>
      </c>
      <c r="E20" s="9" t="s">
        <v>184</v>
      </c>
    </row>
    <row r="21" customFormat="false" ht="15" hidden="false" customHeight="false" outlineLevel="0" collapsed="false">
      <c r="A21" s="7" t="s">
        <v>187</v>
      </c>
      <c r="B21" s="19" t="n">
        <v>0.483</v>
      </c>
      <c r="C21" s="19" t="n">
        <f aca="false">'6. Reserves or Picking Winners'!D11</f>
        <v>0.483333333333333</v>
      </c>
      <c r="D21" s="37" t="str">
        <f aca="false">IF(ISERROR(C21),"CHECK",IF(ABS(C21-B21)&lt;=0.004,"OK","CHECK"))</f>
        <v>OK</v>
      </c>
      <c r="E21" s="9" t="s">
        <v>180</v>
      </c>
    </row>
    <row r="22" customFormat="false" ht="15" hidden="false" customHeight="false" outlineLevel="0" collapsed="false">
      <c r="A22" s="7" t="s">
        <v>188</v>
      </c>
      <c r="B22" s="35" t="n">
        <v>3.06</v>
      </c>
      <c r="C22" s="35" t="n">
        <f aca="false">'6. Reserves or Picking Winners'!D21</f>
        <v>3.06</v>
      </c>
      <c r="D22" s="37" t="str">
        <f aca="false">IF(ISERROR(C22),"CHECK",IF(ABS(C22-B22)&lt;=0.004,"OK","CHECK"))</f>
        <v>OK</v>
      </c>
      <c r="E22" s="9" t="s">
        <v>180</v>
      </c>
    </row>
    <row r="23" customFormat="false" ht="15" hidden="false" customHeight="false" outlineLevel="0" collapsed="false">
      <c r="A23" s="7" t="s">
        <v>189</v>
      </c>
      <c r="B23" s="35" t="n">
        <v>2.25</v>
      </c>
      <c r="C23" s="35" t="n">
        <f aca="false">'6. Reserves or Picking Winners'!D22</f>
        <v>2.25</v>
      </c>
      <c r="D23" s="37" t="str">
        <f aca="false">IF(ISERROR(C23),"CHECK",IF(ABS(C23-B23)&lt;=0.004,"OK","CHECK"))</f>
        <v>OK</v>
      </c>
      <c r="E23" s="9" t="s">
        <v>180</v>
      </c>
    </row>
    <row r="24" customFormat="false" ht="15" hidden="false" customHeight="false" outlineLevel="0" collapsed="false">
      <c r="A24" s="7" t="s">
        <v>190</v>
      </c>
      <c r="B24" s="19" t="n">
        <v>0.36</v>
      </c>
      <c r="C24" s="19" t="n">
        <f aca="false">'6. Reserves or Picking Winners'!D24</f>
        <v>0.36</v>
      </c>
      <c r="D24" s="37" t="str">
        <f aca="false">IF(ISERROR(C24),"CHECK",IF(ABS(C24-B24)&lt;=0.005,"OK","CHECK"))</f>
        <v>OK</v>
      </c>
      <c r="E24" s="9" t="s">
        <v>171</v>
      </c>
    </row>
    <row r="25" customFormat="false" ht="15" hidden="false" customHeight="false" outlineLevel="0" collapsed="false">
      <c r="A25" s="7" t="s">
        <v>191</v>
      </c>
      <c r="B25" s="30" t="n">
        <v>1.02</v>
      </c>
      <c r="C25" s="30" t="n">
        <f aca="false">'6. Reserves or Picking Winners'!B32</f>
        <v>1.0246679316888</v>
      </c>
      <c r="D25" s="37" t="str">
        <f aca="false">IF(ISERROR(C25),"CHECK",IF(ABS(C25-B25)&lt;=0.02,"OK","CHECK"))</f>
        <v>OK</v>
      </c>
      <c r="E25" s="9" t="s">
        <v>168</v>
      </c>
    </row>
    <row r="26" customFormat="false" ht="15" hidden="false" customHeight="false" outlineLevel="0" collapsed="false">
      <c r="A26" s="17" t="s">
        <v>192</v>
      </c>
      <c r="C26" s="16" t="n">
        <f aca="false">IFERROR('1. The Inputs'!B17+'1. The Inputs'!B18+'1. The Inputs'!B19-'1. The Inputs'!B6,"")</f>
        <v>0</v>
      </c>
      <c r="D26" s="37" t="str">
        <f aca="false">IF(ISERROR(C26),"CHECK",IF(C26=0,"OK","CHECK"))</f>
        <v>OK</v>
      </c>
      <c r="E26" s="9" t="s">
        <v>193</v>
      </c>
    </row>
    <row r="27" customFormat="false" ht="15" hidden="false" customHeight="false" outlineLevel="0" collapsed="false">
      <c r="A27" s="17" t="s">
        <v>194</v>
      </c>
      <c r="C27" s="16" t="n">
        <f aca="false">SUMPRODUCT(--('5. Where Defending Loses'!D10:D15&gt;='5. Where Defending Loses'!C10:C15))</f>
        <v>0</v>
      </c>
      <c r="D27" s="37" t="str">
        <f aca="false">IF(ISERROR(C27),"CHECK",IF(C27=0,"OK","CHECK"))</f>
        <v>OK</v>
      </c>
      <c r="E27" s="9" t="s">
        <v>193</v>
      </c>
    </row>
    <row r="28" customFormat="false" ht="15" hidden="false" customHeight="false" outlineLevel="0" collapsed="false">
      <c r="A28" s="17" t="s">
        <v>195</v>
      </c>
      <c r="C28" s="16" t="n">
        <f aca="false">SUMPRODUCT(--('3. The Pro Rata Cheque'!D5:D6&gt;=1))</f>
        <v>0</v>
      </c>
      <c r="D28" s="37" t="str">
        <f aca="false">IF(ISERROR(C28),"CHECK",IF(C28=0,"OK","CHECK"))</f>
        <v>OK</v>
      </c>
      <c r="E28" s="9" t="s">
        <v>196</v>
      </c>
    </row>
    <row r="30" customFormat="false" ht="15" hidden="false" customHeight="false" outlineLevel="0" collapsed="false">
      <c r="A30" s="17" t="s">
        <v>197</v>
      </c>
      <c r="B30" s="32" t="n">
        <f aca="false">COUNTA(D5:D28)</f>
        <v>24</v>
      </c>
      <c r="C30" s="32" t="n">
        <f aca="false">COUNTIF(D5:D28,"OK")</f>
        <v>24</v>
      </c>
      <c r="D30" s="38" t="str">
        <f aca="false">IF(C30=B30,"ALL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2026-08-22T09:29:03Z</dcterms:created>
  <dc:creator>openpyxl</dc:creator>
  <dc:description/>
  <dc:language>en-US</dc:language>
  <cp:lastModifiedBy/>
  <dcterms:modified xsi:type="dcterms:W3CDTF">2026-08-22T09:29:03Z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