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Curves" sheetId="3" state="visible" r:id="rId5"/>
    <sheet name="Black-76" sheetId="4" state="visible" r:id="rId6"/>
    <sheet name="The rolling collar" sheetId="5" state="visible" r:id="rId7"/>
    <sheet name="Zero premium" sheetId="6" state="visible" r:id="rId8"/>
    <sheet name="Year three" sheetId="7" state="visible" r:id="rId9"/>
    <sheet name="Checks" sheetId="8" state="visible" r:id="rId10"/>
  </sheets>
  <definedNames>
    <definedName function="false" hidden="false" name="Ann" vbProcedure="false">Curves!$B$17</definedName>
    <definedName function="false" hidden="false" name="AnnCsa" vbProcedure="false">Curves!$B$18</definedName>
    <definedName function="false" hidden="false" name="BoFx" vbProcedure="false">Inputs!$B$31</definedName>
    <definedName function="false" hidden="false" name="BoIrs" vbProcedure="false">Inputs!$B$30</definedName>
    <definedName function="false" hidden="false" name="CapK" vbProcedure="false">Inputs!$B$41</definedName>
    <definedName function="false" hidden="false" name="Cash" vbProcedure="false">Inputs!$B$12</definedName>
    <definedName function="false" hidden="false" name="ComP" vbProcedure="false">Inputs!$D$48:$D$53</definedName>
    <definedName function="false" hidden="false" name="Cover" vbProcedure="false">Inputs!$B$29</definedName>
    <definedName function="false" hidden="false" name="CRf" vbProcedure="false">Inputs!$B$39</definedName>
    <definedName function="false" hidden="false" name="CsaSp" vbProcedure="false">Inputs!$B$33</definedName>
    <definedName function="false" hidden="false" name="CSpot" vbProcedure="false">Inputs!$B$38</definedName>
    <definedName function="false" hidden="false" name="Cva" vbProcedure="false">Inputs!$B$32</definedName>
    <definedName function="false" hidden="false" name="CVol" vbProcedure="false">Inputs!$B$40</definedName>
    <definedName function="false" hidden="false" name="Debt" vbProcedure="false">Inputs!$B$10</definedName>
    <definedName function="false" hidden="false" name="DFCSA" vbProcedure="false">Curves!$H$8:$H$12</definedName>
    <definedName function="false" hidden="false" name="DFG" vbProcedure="false">Curves!$D$8:$D$12</definedName>
    <definedName function="false" hidden="false" name="DFU" vbProcedure="false">Curves!$E$8:$E$12</definedName>
    <definedName function="false" hidden="false" name="Diff1" vbProcedure="false">Curves!$B$21</definedName>
    <definedName function="false" hidden="false" name="Ebitda" vbProcedure="false">Inputs!$B$8</definedName>
    <definedName function="false" hidden="false" name="Facility" vbProcedure="false">Inputs!$B$13</definedName>
    <definedName function="false" hidden="false" name="FloK" vbProcedure="false">Inputs!$B$42</definedName>
    <definedName function="false" hidden="false" name="Fwd1" vbProcedure="false">Curves!$B$22</definedName>
    <definedName function="false" hidden="false" name="FWDFX" vbProcedure="false">Curves!$F$8:$F$12</definedName>
    <definedName function="false" hidden="false" name="FWDIMP" vbProcedure="false">Curves!$G$8:$G$12</definedName>
    <definedName function="false" hidden="false" name="Headroom" vbProcedure="false">Curves!$B$25</definedName>
    <definedName function="false" hidden="false" name="Hedged" vbProcedure="false">Curves!$B$23</definedName>
    <definedName function="false" hidden="false" name="LibP" vbProcedure="false">Inputs!$C$48:$C$53</definedName>
    <definedName function="false" hidden="false" name="Notional" vbProcedure="false">Inputs!$B$11</definedName>
    <definedName function="false" hidden="false" name="Opened" vbProcedure="false">Curves!$B$24</definedName>
    <definedName function="false" hidden="false" name="ParG" vbProcedure="false">Inputs!$B$20:$B$24</definedName>
    <definedName function="false" hidden="false" name="ParU" vbProcedure="false">Inputs!$C$20:$C$24</definedName>
    <definedName function="false" hidden="false" name="Rev" vbProcedure="false">Inputs!$B$7</definedName>
    <definedName function="false" hidden="false" name="Spot" vbProcedure="false">Inputs!$B$18</definedName>
    <definedName function="false" hidden="false" name="SpotP" vbProcedure="false">Inputs!$B$48:$B$53</definedName>
    <definedName function="false" hidden="false" name="SwapMid" vbProcedure="false">Curves!$B$19</definedName>
    <definedName function="false" hidden="false" name="SwapPaid" vbProcedure="false">Curves!$B$20</definedName>
    <definedName function="false" hidden="false" name="Tonnes" vbProcedure="false">Inputs!$B$37</definedName>
    <definedName function="false" hidden="false" name="UsdSales"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<sst xmlns="http://schemas.openxmlformats.org/spreadsheetml/2006/main" count="300" uniqueCount="251">
  <si>
    <t xml:space="preserve">Derivatives - The Collar, Year by Year</t>
  </si>
  <si>
    <t xml:space="preserve">Companion workbook 3, by Julian R. Sterling</t>
  </si>
  <si>
    <t xml:space="preserve">What this workbook does</t>
  </si>
  <si>
    <t xml:space="preserve">It prices the collar rather than accepting that it is free. Black-76 is written out in spreadsheet formulas - d1, d2 and the normal distribution, in cells you can read - so the cap and the floor are valued here and not carried in from anywhere. Then the programme is rolled across five years under both re-fixing conventions, and the year-three mechanism is set out under each.</t>
  </si>
  <si>
    <t xml:space="preserve">The first experiment to run</t>
  </si>
  <si>
    <t xml:space="preserve">On the Inputs sheet, move the volatility from 24 per cent to 30. Both legs get dearer, but the cap - which is nearer the forward - gains more, and the transfer in the company's favour rises from 1,577,235 to 1,767,991. A structure sold as free is a position in volatility that nobody quoted.</t>
  </si>
  <si>
    <t xml:space="preserve">The second</t>
  </si>
  <si>
    <t xml:space="preserve">Swap the cap and the floor: set the cap to 2,300 and the floor to 2,680. Every sign in the file reverses. Kilmartin consumes this commodity, so it buys the cap; a producer would do the opposite. Getting that the wrong way round is the single easiest way to reach the opposite conclusion with the same arithmetic.</t>
  </si>
  <si>
    <t xml:space="preserve">The third</t>
  </si>
  <si>
    <t xml:space="preserve">Look at the Zero premium sheet. Ten passes of Newton's method solve, for each year, the floor whose value exactly cancels the cap's. The transfers then come to nought by construction - and the settlements come to minus 13,048,172, against a negotiated premium of zero.</t>
  </si>
  <si>
    <t xml:space="preserve">The one number to keep an eye on</t>
  </si>
  <si>
    <t xml:space="preserve">The premium-free floor of 2,447.51, on the Black-76 sheet. The floor actually sold was 2,300. That 147.51 a tonne is the whole of the transfer, and it is the number the phrase "no premium" was hiding.</t>
  </si>
  <si>
    <t xml:space="preserve">On the checks</t>
  </si>
  <si>
    <t xml:space="preserve">The Checks sheet reproduces by formula each figure printed in chapters 6, 7 and 8. Column C is typed from the page; column D is computed here. If a check reads FAIL, the workbook is wrong, not the book.</t>
  </si>
  <si>
    <t xml:space="preserve">Revised 24 September 2026</t>
  </si>
  <si>
    <t xml:space="preserve">Six checks added, forty-two in all: the proportions of chapter 6 (2.48 per cent of the commodity spend, 3.57 per cent of EBITDA, 1.28 times the one-year reported cost, a floor 1.94 times as far from the forward as the cap) and the 1.63 a tonne by which year four stayed inside its floor. Case three in the archive runs the same collar locked for five years on day one, against the rolled one, on three price paths.</t>
  </si>
  <si>
    <t xml:space="preserve">Inputs - the Kilmartin Industrial fact pattern</t>
  </si>
  <si>
    <t xml:space="preserve">Blue on pale yellow is an input, and you may edit it. Everything else in this file is a formula over these cells.</t>
  </si>
  <si>
    <t xml:space="preserve">The company</t>
  </si>
  <si>
    <t xml:space="preserve">Revenue, sterling</t>
  </si>
  <si>
    <t xml:space="preserve">EBITDA</t>
  </si>
  <si>
    <t xml:space="preserve">Of which invoiced in dollars, in dollars</t>
  </si>
  <si>
    <t xml:space="preserve">Floating-rate debt</t>
  </si>
  <si>
    <t xml:space="preserve">Swap notional, five years, pays fixed</t>
  </si>
  <si>
    <t xml:space="preserve">Cash</t>
  </si>
  <si>
    <t xml:space="preserve">Committed undrawn facility</t>
  </si>
  <si>
    <t xml:space="preserve">The committed undrawn facility is treated as drawable overnight to post variation margin. That is the assumption that decides every break-even in this file, and it depends on the facility agreement.</t>
  </si>
  <si>
    <t xml:space="preserve">The two markets, on the day of the decision</t>
  </si>
  <si>
    <t xml:space="preserve">Spot, dollars per pound</t>
  </si>
  <si>
    <t xml:space="preserve">year</t>
  </si>
  <si>
    <t xml:space="preserve">GBP par rate</t>
  </si>
  <si>
    <t xml:space="preserve">USD par rate</t>
  </si>
  <si>
    <t xml:space="preserve">1 year</t>
  </si>
  <si>
    <t xml:space="preserve">2 years</t>
  </si>
  <si>
    <t xml:space="preserve">3 years</t>
  </si>
  <si>
    <t xml:space="preserve">4 years</t>
  </si>
  <si>
    <t xml:space="preserve">5 years</t>
  </si>
  <si>
    <t xml:space="preserve">Every discount factor in this file is bootstrapped from these ten rates on the Curves sheet, and the ten par bonds are re-priced to 1 there.</t>
  </si>
  <si>
    <t xml:space="preserve">The hedging programme, as decided</t>
  </si>
  <si>
    <t xml:space="preserve">Share of dollar sales sold forward</t>
  </si>
  <si>
    <t xml:space="preserve">Dealer spread on the swap fixed rate</t>
  </si>
  <si>
    <t xml:space="preserve">Currency bid and offer, on 1.2500</t>
  </si>
  <si>
    <t xml:space="preserve">Credit charge embedded in the rate</t>
  </si>
  <si>
    <t xml:space="preserve">Collateral rate, below the unsecured curve</t>
  </si>
  <si>
    <t xml:space="preserve">The commodity collar - Kilmartin consumes, so it buys the cap</t>
  </si>
  <si>
    <t xml:space="preserve">Tonnes consumed a year</t>
  </si>
  <si>
    <t xml:space="preserve">Spot, per tonne</t>
  </si>
  <si>
    <t xml:space="preserve">Rate used for the carry to one year</t>
  </si>
  <si>
    <t xml:space="preserve">Volatility</t>
  </si>
  <si>
    <t xml:space="preserve">Cap bought at</t>
  </si>
  <si>
    <t xml:space="preserve">Floor sold at</t>
  </si>
  <si>
    <t xml:space="preserve">The floor is not Kilmartin's protection; it is the leg it gives away. Its protection is the cap. Swap the two and the chapter reverses.</t>
  </si>
  <si>
    <t xml:space="preserve">The three declared paths - named scenarios, not simulations</t>
  </si>
  <si>
    <t xml:space="preserve">at the end of year</t>
  </si>
  <si>
    <t xml:space="preserve">spot USD/GBP</t>
  </si>
  <si>
    <t xml:space="preserve">floating rate</t>
  </si>
  <si>
    <t xml:space="preserve">commodity, per tonne</t>
  </si>
  <si>
    <t xml:space="preserve">t = 0</t>
  </si>
  <si>
    <t xml:space="preserve">t = 1</t>
  </si>
  <si>
    <t xml:space="preserve">t = 2</t>
  </si>
  <si>
    <t xml:space="preserve">t = 3</t>
  </si>
  <si>
    <t xml:space="preserve">t = 4</t>
  </si>
  <si>
    <t xml:space="preserve">t = 5</t>
  </si>
  <si>
    <t xml:space="preserve">These are choices, not facts about the markets. Replace them and every figure in the file is re-run on the path you prefer.</t>
  </si>
  <si>
    <t xml:space="preserve">Curves, bootstrapped</t>
  </si>
  <si>
    <t xml:space="preserve">Discount factors from par rates, and everything the rest of the file reads off them.</t>
  </si>
  <si>
    <t xml:space="preserve">The two curves</t>
  </si>
  <si>
    <t xml:space="preserve">GBP par</t>
  </si>
  <si>
    <t xml:space="preserve">USD par</t>
  </si>
  <si>
    <t xml:space="preserve">DF GBP</t>
  </si>
  <si>
    <t xml:space="preserve">DF USD</t>
  </si>
  <si>
    <t xml:space="preserve">forward USD/GBP</t>
  </si>
  <si>
    <t xml:space="preserve">implied forward rate</t>
  </si>
  <si>
    <t xml:space="preserve">DF at the collateral rate</t>
  </si>
  <si>
    <t xml:space="preserve">GBP par bond re-priced</t>
  </si>
  <si>
    <t xml:space="preserve">USD par bond re-priced</t>
  </si>
  <si>
    <t xml:space="preserve">The forwards rise with maturity because dollar rates are higher than sterling rates. A forward curve that fell would mean the reverse, and is the first thing to check.</t>
  </si>
  <si>
    <t xml:space="preserve">What the curves give the rest of the file</t>
  </si>
  <si>
    <t xml:space="preserve">Annuity, the five sterling discount factors</t>
  </si>
  <si>
    <t xml:space="preserve">The same annuity on the collateral curve</t>
  </si>
  <si>
    <t xml:space="preserve">Five-year swap rate, mid market</t>
  </si>
  <si>
    <t xml:space="preserve">Fixed rate paid, mid plus the dealer spread</t>
  </si>
  <si>
    <t xml:space="preserve">One-year rate differential, dollars over sterling</t>
  </si>
  <si>
    <t xml:space="preserve">Forward at one year</t>
  </si>
  <si>
    <t xml:space="preserve">Dollars sold forward each year</t>
  </si>
  <si>
    <t xml:space="preserve">Dollars left open each year</t>
  </si>
  <si>
    <t xml:space="preserve">Available liquidity</t>
  </si>
  <si>
    <t xml:space="preserve">The guards this sheet carries</t>
  </si>
  <si>
    <t xml:space="preserve">Every one of the ten par bonds re-priced, worst error against 1</t>
  </si>
  <si>
    <t xml:space="preserve">Five-year par rate less the mid swap rate</t>
  </si>
  <si>
    <t xml:space="preserve">Spot times the rate differential, less the one-year forward</t>
  </si>
  <si>
    <t xml:space="preserve">The floating leg, less 1 minus the five-year discount factor</t>
  </si>
  <si>
    <t xml:space="preserve">Four identities, each computed by a path that has nothing in common with the one that built the numbers. If any of them stops reading zero, the curve is wrong and so is everything downstream.</t>
  </si>
  <si>
    <t xml:space="preserve">The collar that cost nothing</t>
  </si>
  <si>
    <t xml:space="preserve">Black-76 in spreadsheet formulas, and the floor that would truly have been free.</t>
  </si>
  <si>
    <t xml:space="preserve">The forward, and the two legs at 24 per cent volatility</t>
  </si>
  <si>
    <t xml:space="preserve">Commodity forward at one year, spot carried at the rate</t>
  </si>
  <si>
    <t xml:space="preserve">Cap: d1</t>
  </si>
  <si>
    <t xml:space="preserve">Cap: d2</t>
  </si>
  <si>
    <t xml:space="preserve">Cap bought at 2,680, value per tonne</t>
  </si>
  <si>
    <t xml:space="preserve">Floor: d1</t>
  </si>
  <si>
    <t xml:space="preserve">Floor: d2</t>
  </si>
  <si>
    <t xml:space="preserve">Floor sold at 2,300, value per tonne</t>
  </si>
  <si>
    <t xml:space="preserve">Value received per tonne, cap less floor</t>
  </si>
  <si>
    <t xml:space="preserve">Value received on 26,000 tonnes, in the company's favour</t>
  </si>
  <si>
    <t xml:space="preserve">Call less put at the cap strike, less the discounted forward less strike</t>
  </si>
  <si>
    <t xml:space="preserve">The collar is quoted without premium and it is not one. Kilmartin consumes the commodity: the cap is its protection and the floor is the leg it gives away. It received value, not paid it.</t>
  </si>
  <si>
    <t xml:space="preserve">The floor that would truly have been premium-free: a fixed point, in the open</t>
  </si>
  <si>
    <t xml:space="preserve">The floor whose value equals the cap's cannot be written in one pass: the strike is on both sides. It is solved here by Newton's method, ten passes, one row each. Where the last two rows agree, that is the floor.</t>
  </si>
  <si>
    <t xml:space="preserve">pass</t>
  </si>
  <si>
    <t xml:space="preserve">strike tried</t>
  </si>
  <si>
    <t xml:space="preserve">d2 at that strike</t>
  </si>
  <si>
    <t xml:space="preserve">the floor's value there</t>
  </si>
  <si>
    <t xml:space="preserve">how fast the value moves with the strike</t>
  </si>
  <si>
    <t xml:space="preserve">pass 0</t>
  </si>
  <si>
    <t xml:space="preserve">pass 1</t>
  </si>
  <si>
    <t xml:space="preserve">pass 2</t>
  </si>
  <si>
    <t xml:space="preserve">pass 3</t>
  </si>
  <si>
    <t xml:space="preserve">pass 4</t>
  </si>
  <si>
    <t xml:space="preserve">pass 5</t>
  </si>
  <si>
    <t xml:space="preserve">pass 6</t>
  </si>
  <si>
    <t xml:space="preserve">pass 7</t>
  </si>
  <si>
    <t xml:space="preserve">pass 8</t>
  </si>
  <si>
    <t xml:space="preserve">pass 9</t>
  </si>
  <si>
    <t xml:space="preserve">pass 10</t>
  </si>
  <si>
    <t xml:space="preserve">The premium-free floor, where the passes settle</t>
  </si>
  <si>
    <t xml:space="preserve">How much less of its fall the company gave away than a free collar required</t>
  </si>
  <si>
    <t xml:space="preserve">The last two passes, against each other</t>
  </si>
  <si>
    <t xml:space="preserve">The floor sold was 2,300, not 2,447.51. That 147.51 a tonne of fall the company kept is exactly where the transfer of 1,577,235 in its favour comes from. The bank lost on this structure - which does not make the treasurer better: nobody priced it in either direction.</t>
  </si>
  <si>
    <t xml:space="preserve">What happens when you roll a collar</t>
  </si>
  <si>
    <t xml:space="preserve">Each year the bounds re-fix at the same relative distance from the forward.</t>
  </si>
  <si>
    <t xml:space="preserve">The cap, as a ratio to the forward</t>
  </si>
  <si>
    <t xml:space="preserve">The floor, as a ratio to the forward</t>
  </si>
  <si>
    <t xml:space="preserve">struck on a spot of</t>
  </si>
  <si>
    <t xml:space="preserve">forward</t>
  </si>
  <si>
    <t xml:space="preserve">cap</t>
  </si>
  <si>
    <t xml:space="preserve">floor</t>
  </si>
  <si>
    <t xml:space="preserve">price at settlement</t>
  </si>
  <si>
    <t xml:space="preserve">d1 cap</t>
  </si>
  <si>
    <t xml:space="preserve">d2 cap</t>
  </si>
  <si>
    <t xml:space="preserve">cap value</t>
  </si>
  <si>
    <t xml:space="preserve">d1 floor</t>
  </si>
  <si>
    <t xml:space="preserve">d2 floor</t>
  </si>
  <si>
    <t xml:space="preserve">floor value</t>
  </si>
  <si>
    <t xml:space="preserve">premium received</t>
  </si>
  <si>
    <t xml:space="preserve">settlement</t>
  </si>
  <si>
    <t xml:space="preserve">DF on the premium</t>
  </si>
  <si>
    <t xml:space="preserve">premium, in present value</t>
  </si>
  <si>
    <t xml:space="preserve">DF on the settlement</t>
  </si>
  <si>
    <t xml:space="preserve">settlement, in present value</t>
  </si>
  <si>
    <t xml:space="preserve">year 1</t>
  </si>
  <si>
    <t xml:space="preserve">year 2</t>
  </si>
  <si>
    <t xml:space="preserve">year 3</t>
  </si>
  <si>
    <t xml:space="preserve">year 4</t>
  </si>
  <si>
    <t xml:space="preserve">year 5</t>
  </si>
  <si>
    <t xml:space="preserve">five years</t>
  </si>
  <si>
    <t xml:space="preserve">Premiums against settlements, on common dates</t>
  </si>
  <si>
    <t xml:space="preserve">The same ratio with the dates mixed, which understates it</t>
  </si>
  <si>
    <t xml:space="preserve">The first year of the roll, against the standalone valuation</t>
  </si>
  <si>
    <t xml:space="preserve">Over five years the treasurer received 8,497,759 of option value without knowing it, the structure having been sold without premium, and the settlement line - the only one he followed - cost 1,347,755. Premiums fall at the start of each year and settlements at the end, so the two are discounted differently.</t>
  </si>
  <si>
    <t xml:space="preserve">The other convention: bounds set to zero premium each year</t>
  </si>
  <si>
    <t xml:space="preserve">Five fixed points, each solved in the open by ten passes of Newton's method.</t>
  </si>
  <si>
    <t xml:space="preserve">Under this rule the transfers vanish by construction, so the ratio of chapter seven disappears with them. What does not disappear is the year-three mechanism - and under this rule it is worse.</t>
  </si>
  <si>
    <t xml:space="preserve">Forward, on the spot then ruling</t>
  </si>
  <si>
    <t xml:space="preserve">Cap, at the same ratio as year one</t>
  </si>
  <si>
    <t xml:space="preserve">The cap's value per tonne</t>
  </si>
  <si>
    <t xml:space="preserve">The floor that makes the premium nought</t>
  </si>
  <si>
    <t xml:space="preserve">   pass 0</t>
  </si>
  <si>
    <t xml:space="preserve">   pass 1</t>
  </si>
  <si>
    <t xml:space="preserve">   pass 2</t>
  </si>
  <si>
    <t xml:space="preserve">   pass 3</t>
  </si>
  <si>
    <t xml:space="preserve">   pass 4</t>
  </si>
  <si>
    <t xml:space="preserve">   pass 5</t>
  </si>
  <si>
    <t xml:space="preserve">   pass 6</t>
  </si>
  <si>
    <t xml:space="preserve">   pass 7</t>
  </si>
  <si>
    <t xml:space="preserve">   pass 8</t>
  </si>
  <si>
    <t xml:space="preserve">   pass 9</t>
  </si>
  <si>
    <t xml:space="preserve">   pass 10</t>
  </si>
  <si>
    <t xml:space="preserve">Floor, rule B</t>
  </si>
  <si>
    <t xml:space="preserve">Price at settlement</t>
  </si>
  <si>
    <t xml:space="preserve">Settlement</t>
  </si>
  <si>
    <t xml:space="preserve">Transfer, which must be nought</t>
  </si>
  <si>
    <t xml:space="preserve">Thirteen million over five years on a line where, by construction, there was nothing to negotiate. That is the stronger of the two arguments, and it is free.</t>
  </si>
  <si>
    <t xml:space="preserve">The year-three mechanism</t>
  </si>
  <si>
    <t xml:space="preserve">A floor re-fixed after a rise charges the company on a fall in its own input cost.</t>
  </si>
  <si>
    <t xml:space="preserve">Under the rule the book uses: the same relative distance</t>
  </si>
  <si>
    <t xml:space="preserve">The floor sold in year one</t>
  </si>
  <si>
    <t xml:space="preserve">The spot the year-three bounds were re-fixed on</t>
  </si>
  <si>
    <t xml:space="preserve">The floor re-fixed in year three, after the rise</t>
  </si>
  <si>
    <t xml:space="preserve">The price when it came back down</t>
  </si>
  <si>
    <t xml:space="preserve">What the company paid, on a fall in its own input cost</t>
  </si>
  <si>
    <t xml:space="preserve">And the floor it sold in year five, after the fall</t>
  </si>
  <si>
    <t xml:space="preserve">The company never buys that floor back. It sells one every year: high after a rise, low after a fall.</t>
  </si>
  <si>
    <t xml:space="preserve">And under the other rule, at zero premium, it is worse</t>
  </si>
  <si>
    <t xml:space="preserve">The year-three floor at zero premium</t>
  </si>
  <si>
    <t xml:space="preserve">What the same fall costs under that rule</t>
  </si>
  <si>
    <t xml:space="preserve">And over five years</t>
  </si>
  <si>
    <t xml:space="preserve">The mechanism is true under both conventions, and it is the mechanism - not the figure - that carries this chapter: a rolling programme gives up the level to keep only the change. That is exactly what the currency programme does four pages earlier. Two instruments, two markets, one mechanic.</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</si>
  <si>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</si>
  <si>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</si>
  <si>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</si>
  <si>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</si>
  <si>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</si>
  <si>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</si>
  <si>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</si>
  <si>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</si>
  <si>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</si>
  <si>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6</t>
  </si>
  <si>
    <t xml:space="preserve">Commodity forward at one year</t>
  </si>
  <si>
    <t xml:space="preserve">Value received per tonne</t>
  </si>
  <si>
    <t xml:space="preserve">Value received on 26,000 tonnes</t>
  </si>
  <si>
    <t xml:space="preserve">The floor that would truly have been premium-free</t>
  </si>
  <si>
    <t xml:space="preserve">How much less of its fall the company gave away</t>
  </si>
  <si>
    <t xml:space="preserve">7</t>
  </si>
  <si>
    <t xml:space="preserve">Cap, year one</t>
  </si>
  <si>
    <t xml:space="preserve">Floor, year one</t>
  </si>
  <si>
    <t xml:space="preserve">Cap, year two</t>
  </si>
  <si>
    <t xml:space="preserve">Floor, year two</t>
  </si>
  <si>
    <t xml:space="preserve">Cap, year three</t>
  </si>
  <si>
    <t xml:space="preserve">Floor, year three</t>
  </si>
  <si>
    <t xml:space="preserve">Cap, year four</t>
  </si>
  <si>
    <t xml:space="preserve">Floor, year four</t>
  </si>
  <si>
    <t xml:space="preserve">Cap, year five</t>
  </si>
  <si>
    <t xml:space="preserve">Floor, year five</t>
  </si>
  <si>
    <t xml:space="preserve">Premium received, year one</t>
  </si>
  <si>
    <t xml:space="preserve">Premium received, year two</t>
  </si>
  <si>
    <t xml:space="preserve">Premium received, year three</t>
  </si>
  <si>
    <t xml:space="preserve">Premium received, year four</t>
  </si>
  <si>
    <t xml:space="preserve">Premium received, year five</t>
  </si>
  <si>
    <t xml:space="preserve">Premiums received, five years</t>
  </si>
  <si>
    <t xml:space="preserve">Settlement, year one</t>
  </si>
  <si>
    <t xml:space="preserve">Settlement, year two</t>
  </si>
  <si>
    <t xml:space="preserve">Settlement, year three</t>
  </si>
  <si>
    <t xml:space="preserve">Settlement, year four</t>
  </si>
  <si>
    <t xml:space="preserve">Settlement, year five</t>
  </si>
  <si>
    <t xml:space="preserve">Settlements, five years</t>
  </si>
  <si>
    <t xml:space="preserve">The same ratio with the dates mixed</t>
  </si>
  <si>
    <t xml:space="preserve">8</t>
  </si>
  <si>
    <t xml:space="preserve">Rule B: the year-one floor, solved to zero premium</t>
  </si>
  <si>
    <t xml:space="preserve">Rule B: the year-three floor</t>
  </si>
  <si>
    <t xml:space="preserve">Rule B: what the year-three fall costs</t>
  </si>
  <si>
    <t xml:space="preserve">Rule B: settlements over five years</t>
  </si>
  <si>
    <t xml:space="preserve">Rule B: transfers, nought by construction</t>
  </si>
  <si>
    <t xml:space="preserve">The transfer as a share of the annual commodity spend</t>
  </si>
  <si>
    <t xml:space="preserve">The transfer as a share of EBITDA</t>
  </si>
  <si>
    <t xml:space="preserve">The transfer over the one-year reported cost of hedging</t>
  </si>
  <si>
    <t xml:space="preserve">The floor's distance from the forward over the cap's</t>
  </si>
  <si>
    <t xml:space="preserve">Value moved over strike moved, zero-premium floor to 2,300 ("a little over two fifths")</t>
  </si>
  <si>
    <t xml:space="preserve">Year four: the price above the re-fixed floor, a tonne</t>
  </si>
  <si>
    <t xml:space="preserve">Checks that pass</t>
  </si>
  <si>
    <t xml:space="preserve">Checks that fail</t>
  </si>
</sst>
</file>

<file path=xl/styles.xml><?xml version="1.0" encoding="utf-8"?>
<styleSheet xmlns="http://schemas.openxmlformats.org/spreadsheetml/2006/main">
  <numFmts count="14">
    <numFmt numFmtId="164" formatCode="General"/>
    <numFmt numFmtId="165" formatCode="#,##0;\-#,##0"/>
    <numFmt numFmtId="166" formatCode="0.0000"/>
    <numFmt numFmtId="167" formatCode="0.0000%;\-0.0000%"/>
    <numFmt numFmtId="168" formatCode="0.00%;\-0.00%"/>
    <numFmt numFmtId="169" formatCode="#,##0"/>
    <numFmt numFmtId="170" formatCode="#,##0.00;\-#,##0.00"/>
    <numFmt numFmtId="171" formatCode="0.000000"/>
    <numFmt numFmtId="172" formatCode="0.0000000000"/>
    <numFmt numFmtId="173" formatCode="0.00\x"/>
    <numFmt numFmtId="174" formatCode="0.00000000"/>
    <numFmt numFmtId="175" formatCode="@"/>
    <numFmt numFmtId="176" formatCode="0.0000%"/>
    <numFmt numFmtId="177" formatCode="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5" fontId="11"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7"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90"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4" min="3" style="0" width="16"/>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row>
    <row r="5" customFormat="false" ht="15" hidden="false" customHeight="false" outlineLevel="0" collapsed="false">
      <c r="A5" s="4" t="s">
        <v>18</v>
      </c>
      <c r="B5" s="6"/>
      <c r="C5" s="6"/>
      <c r="D5" s="6"/>
    </row>
    <row r="7" customFormat="false" ht="15" hidden="false" customHeight="false" outlineLevel="0" collapsed="false">
      <c r="A7" s="7" t="s">
        <v>19</v>
      </c>
      <c r="B7" s="8" t="n">
        <v>340000000</v>
      </c>
    </row>
    <row r="8" customFormat="false" ht="15" hidden="false" customHeight="false" outlineLevel="0" collapsed="false">
      <c r="A8" s="7" t="s">
        <v>20</v>
      </c>
      <c r="B8" s="8" t="n">
        <v>44200000</v>
      </c>
    </row>
    <row r="9" customFormat="false" ht="15" hidden="false" customHeight="false" outlineLevel="0" collapsed="false">
      <c r="A9" s="7" t="s">
        <v>21</v>
      </c>
      <c r="B9" s="8" t="n">
        <v>180000000</v>
      </c>
    </row>
    <row r="10" customFormat="false" ht="15" hidden="false" customHeight="false" outlineLevel="0" collapsed="false">
      <c r="A10" s="7" t="s">
        <v>22</v>
      </c>
      <c r="B10" s="8" t="n">
        <v>150000000</v>
      </c>
    </row>
    <row r="11" customFormat="false" ht="15" hidden="false" customHeight="false" outlineLevel="0" collapsed="false">
      <c r="A11" s="7" t="s">
        <v>23</v>
      </c>
      <c r="B11" s="8" t="n">
        <v>120000000</v>
      </c>
    </row>
    <row r="12" customFormat="false" ht="15" hidden="false" customHeight="false" outlineLevel="0" collapsed="false">
      <c r="A12" s="7" t="s">
        <v>24</v>
      </c>
      <c r="B12" s="8" t="n">
        <v>11000000</v>
      </c>
    </row>
    <row r="13" customFormat="false" ht="15" hidden="false" customHeight="false" outlineLevel="0" collapsed="false">
      <c r="A13" s="7" t="s">
        <v>25</v>
      </c>
      <c r="B13" s="8" t="n">
        <v>25000000</v>
      </c>
    </row>
    <row r="14" customFormat="false" ht="15" hidden="false" customHeight="false" outlineLevel="0" collapsed="false">
      <c r="A14" s="9" t="s">
        <v>26</v>
      </c>
    </row>
    <row r="16" customFormat="false" ht="15" hidden="false" customHeight="false" outlineLevel="0" collapsed="false">
      <c r="A16" s="4" t="s">
        <v>27</v>
      </c>
      <c r="B16" s="6"/>
      <c r="C16" s="6"/>
      <c r="D16" s="6"/>
    </row>
    <row r="18" customFormat="false" ht="15" hidden="false" customHeight="false" outlineLevel="0" collapsed="false">
      <c r="A18" s="7" t="s">
        <v>28</v>
      </c>
      <c r="B18" s="10" t="n">
        <v>1.25</v>
      </c>
    </row>
    <row r="19" customFormat="false" ht="30" hidden="false" customHeight="true" outlineLevel="0" collapsed="false">
      <c r="A19" s="11" t="s">
        <v>29</v>
      </c>
      <c r="B19" s="12" t="s">
        <v>30</v>
      </c>
      <c r="C19" s="12" t="s">
        <v>31</v>
      </c>
    </row>
    <row r="20" customFormat="false" ht="15" hidden="false" customHeight="false" outlineLevel="0" collapsed="false">
      <c r="A20" s="7" t="s">
        <v>32</v>
      </c>
      <c r="B20" s="13" t="n">
        <v>0.0385</v>
      </c>
      <c r="C20" s="13" t="n">
        <v>0.0505</v>
      </c>
    </row>
    <row r="21" customFormat="false" ht="15" hidden="false" customHeight="false" outlineLevel="0" collapsed="false">
      <c r="A21" s="7" t="s">
        <v>33</v>
      </c>
      <c r="B21" s="13" t="n">
        <v>0.0398</v>
      </c>
      <c r="C21" s="13" t="n">
        <v>0.0512</v>
      </c>
    </row>
    <row r="22" customFormat="false" ht="15" hidden="false" customHeight="false" outlineLevel="0" collapsed="false">
      <c r="A22" s="7" t="s">
        <v>34</v>
      </c>
      <c r="B22" s="13" t="n">
        <v>0.0412</v>
      </c>
      <c r="C22" s="13" t="n">
        <v>0.0521</v>
      </c>
    </row>
    <row r="23" customFormat="false" ht="15" hidden="false" customHeight="false" outlineLevel="0" collapsed="false">
      <c r="A23" s="7" t="s">
        <v>35</v>
      </c>
      <c r="B23" s="13" t="n">
        <v>0.0425</v>
      </c>
      <c r="C23" s="13" t="n">
        <v>0.053</v>
      </c>
    </row>
    <row r="24" customFormat="false" ht="15" hidden="false" customHeight="false" outlineLevel="0" collapsed="false">
      <c r="A24" s="7" t="s">
        <v>36</v>
      </c>
      <c r="B24" s="13" t="n">
        <v>0.0436</v>
      </c>
      <c r="C24" s="13" t="n">
        <v>0.0538</v>
      </c>
    </row>
    <row r="25" customFormat="false" ht="15" hidden="false" customHeight="false" outlineLevel="0" collapsed="false">
      <c r="A25" s="9" t="s">
        <v>37</v>
      </c>
    </row>
    <row r="27" customFormat="false" ht="15" hidden="false" customHeight="false" outlineLevel="0" collapsed="false">
      <c r="A27" s="4" t="s">
        <v>38</v>
      </c>
      <c r="B27" s="6"/>
      <c r="C27" s="6"/>
      <c r="D27" s="6"/>
    </row>
    <row r="29" customFormat="false" ht="15" hidden="false" customHeight="false" outlineLevel="0" collapsed="false">
      <c r="A29" s="7" t="s">
        <v>39</v>
      </c>
      <c r="B29" s="14" t="n">
        <v>0.75</v>
      </c>
    </row>
    <row r="30" customFormat="false" ht="15" hidden="false" customHeight="false" outlineLevel="0" collapsed="false">
      <c r="A30" s="7" t="s">
        <v>40</v>
      </c>
      <c r="B30" s="13" t="n">
        <v>0.00025</v>
      </c>
    </row>
    <row r="31" customFormat="false" ht="15" hidden="false" customHeight="false" outlineLevel="0" collapsed="false">
      <c r="A31" s="7" t="s">
        <v>41</v>
      </c>
      <c r="B31" s="10" t="n">
        <v>0.0008</v>
      </c>
    </row>
    <row r="32" customFormat="false" ht="15" hidden="false" customHeight="false" outlineLevel="0" collapsed="false">
      <c r="A32" s="7" t="s">
        <v>42</v>
      </c>
      <c r="B32" s="13" t="n">
        <v>0.0011</v>
      </c>
    </row>
    <row r="33" customFormat="false" ht="15" hidden="false" customHeight="false" outlineLevel="0" collapsed="false">
      <c r="A33" s="7" t="s">
        <v>43</v>
      </c>
      <c r="B33" s="13" t="n">
        <v>0.0015</v>
      </c>
    </row>
    <row r="35" customFormat="false" ht="15" hidden="false" customHeight="false" outlineLevel="0" collapsed="false">
      <c r="A35" s="4" t="s">
        <v>44</v>
      </c>
      <c r="B35" s="6"/>
      <c r="C35" s="6"/>
      <c r="D35" s="6"/>
    </row>
    <row r="37" customFormat="false" ht="15" hidden="false" customHeight="false" outlineLevel="0" collapsed="false">
      <c r="A37" s="7" t="s">
        <v>45</v>
      </c>
      <c r="B37" s="15" t="n">
        <v>26000</v>
      </c>
    </row>
    <row r="38" customFormat="false" ht="15" hidden="false" customHeight="false" outlineLevel="0" collapsed="false">
      <c r="A38" s="7" t="s">
        <v>46</v>
      </c>
      <c r="B38" s="16" t="n">
        <v>2450</v>
      </c>
    </row>
    <row r="39" customFormat="false" ht="15" hidden="false" customHeight="false" outlineLevel="0" collapsed="false">
      <c r="A39" s="7" t="s">
        <v>47</v>
      </c>
      <c r="B39" s="13" t="n">
        <v>0.0412</v>
      </c>
    </row>
    <row r="40" customFormat="false" ht="15" hidden="false" customHeight="false" outlineLevel="0" collapsed="false">
      <c r="A40" s="7" t="s">
        <v>48</v>
      </c>
      <c r="B40" s="14" t="n">
        <v>0.24</v>
      </c>
    </row>
    <row r="41" customFormat="false" ht="15" hidden="false" customHeight="false" outlineLevel="0" collapsed="false">
      <c r="A41" s="7" t="s">
        <v>49</v>
      </c>
      <c r="B41" s="16" t="n">
        <v>2680</v>
      </c>
    </row>
    <row r="42" customFormat="false" ht="15" hidden="false" customHeight="false" outlineLevel="0" collapsed="false">
      <c r="A42" s="7" t="s">
        <v>50</v>
      </c>
      <c r="B42" s="16" t="n">
        <v>2300</v>
      </c>
    </row>
    <row r="43" customFormat="false" ht="15" hidden="false" customHeight="false" outlineLevel="0" collapsed="false">
      <c r="A43" s="9" t="s">
        <v>51</v>
      </c>
    </row>
    <row r="45" customFormat="false" ht="15" hidden="false" customHeight="false" outlineLevel="0" collapsed="false">
      <c r="A45" s="4" t="s">
        <v>52</v>
      </c>
      <c r="B45" s="6"/>
      <c r="C45" s="6"/>
      <c r="D45" s="6"/>
    </row>
    <row r="47" customFormat="false" ht="30" hidden="false" customHeight="true" outlineLevel="0" collapsed="false">
      <c r="A47" s="11" t="s">
        <v>53</v>
      </c>
      <c r="B47" s="12" t="s">
        <v>54</v>
      </c>
      <c r="C47" s="12" t="s">
        <v>55</v>
      </c>
      <c r="D47" s="12" t="s">
        <v>56</v>
      </c>
    </row>
    <row r="48" customFormat="false" ht="15" hidden="false" customHeight="false" outlineLevel="0" collapsed="false">
      <c r="A48" s="7" t="s">
        <v>57</v>
      </c>
      <c r="B48" s="10" t="n">
        <v>1.25</v>
      </c>
      <c r="C48" s="13" t="n">
        <v>0.0385</v>
      </c>
      <c r="D48" s="16" t="n">
        <v>2450</v>
      </c>
    </row>
    <row r="49" customFormat="false" ht="15" hidden="false" customHeight="false" outlineLevel="0" collapsed="false">
      <c r="A49" s="7" t="s">
        <v>58</v>
      </c>
      <c r="B49" s="10" t="n">
        <v>1.19</v>
      </c>
      <c r="C49" s="13" t="n">
        <v>0.0455</v>
      </c>
      <c r="D49" s="16" t="n">
        <v>2720</v>
      </c>
    </row>
    <row r="50" customFormat="false" ht="15" hidden="false" customHeight="false" outlineLevel="0" collapsed="false">
      <c r="A50" s="7" t="s">
        <v>59</v>
      </c>
      <c r="B50" s="10" t="n">
        <v>1.14</v>
      </c>
      <c r="C50" s="13" t="n">
        <v>0.052</v>
      </c>
      <c r="D50" s="16" t="n">
        <v>2910</v>
      </c>
    </row>
    <row r="51" customFormat="false" ht="15" hidden="false" customHeight="false" outlineLevel="0" collapsed="false">
      <c r="A51" s="7" t="s">
        <v>60</v>
      </c>
      <c r="B51" s="10" t="n">
        <v>1.175</v>
      </c>
      <c r="C51" s="13" t="n">
        <v>0.0495</v>
      </c>
      <c r="D51" s="16" t="n">
        <v>2640</v>
      </c>
    </row>
    <row r="52" customFormat="false" ht="15" hidden="false" customHeight="false" outlineLevel="0" collapsed="false">
      <c r="A52" s="7" t="s">
        <v>61</v>
      </c>
      <c r="B52" s="10" t="n">
        <v>1.22</v>
      </c>
      <c r="C52" s="13" t="n">
        <v>0.043</v>
      </c>
      <c r="D52" s="16" t="n">
        <v>2480</v>
      </c>
    </row>
    <row r="53" customFormat="false" ht="15" hidden="false" customHeight="false" outlineLevel="0" collapsed="false">
      <c r="A53" s="7" t="s">
        <v>62</v>
      </c>
      <c r="B53" s="10" t="n">
        <v>1.26</v>
      </c>
      <c r="C53" s="13" t="n">
        <v>0.0395</v>
      </c>
      <c r="D53" s="16" t="n">
        <v>2360</v>
      </c>
    </row>
    <row r="54" customFormat="false" ht="15" hidden="false" customHeight="false" outlineLevel="0" collapsed="false">
      <c r="A54" s="9"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3"/>
    <col collapsed="false" customWidth="true" hidden="false" outlineLevel="0" max="6" min="6" style="0" width="14"/>
    <col collapsed="false" customWidth="true" hidden="false" outlineLevel="0" max="10" min="7" style="0" width="15"/>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66</v>
      </c>
      <c r="B5" s="6"/>
      <c r="C5" s="6"/>
      <c r="D5" s="6"/>
      <c r="E5" s="6"/>
      <c r="F5" s="6"/>
      <c r="G5" s="6"/>
      <c r="H5" s="6"/>
      <c r="I5" s="6"/>
      <c r="J5" s="6"/>
    </row>
    <row r="7" customFormat="false" ht="30" hidden="false" customHeight="true" outlineLevel="0" collapsed="false">
      <c r="A7" s="11" t="s">
        <v>29</v>
      </c>
      <c r="B7" s="12" t="s">
        <v>67</v>
      </c>
      <c r="C7" s="12" t="s">
        <v>68</v>
      </c>
      <c r="D7" s="12" t="s">
        <v>69</v>
      </c>
      <c r="E7" s="12" t="s">
        <v>70</v>
      </c>
      <c r="F7" s="12" t="s">
        <v>71</v>
      </c>
      <c r="G7" s="12" t="s">
        <v>72</v>
      </c>
      <c r="H7" s="12" t="s">
        <v>73</v>
      </c>
      <c r="I7" s="12" t="s">
        <v>74</v>
      </c>
      <c r="J7" s="12" t="s">
        <v>75</v>
      </c>
    </row>
    <row r="8" customFormat="false" ht="15" hidden="false" customHeight="false" outlineLevel="0" collapsed="false">
      <c r="A8" s="7" t="s">
        <v>32</v>
      </c>
      <c r="B8" s="17" t="n">
        <f aca="false">INDEX(ParG,1)</f>
        <v>0.0385</v>
      </c>
      <c r="C8" s="17" t="n">
        <f aca="false">INDEX(ParU,1)</f>
        <v>0.0505</v>
      </c>
      <c r="D8" s="18" t="n">
        <f aca="false">1/(1+B8)</f>
        <v>0.962927298988926</v>
      </c>
      <c r="E8" s="18" t="n">
        <f aca="false">1/(1+C8)</f>
        <v>0.951927653498334</v>
      </c>
      <c r="F8" s="19" t="n">
        <f aca="false">Spot*D8/E8</f>
        <v>1.26444390948483</v>
      </c>
      <c r="G8" s="17" t="n">
        <f aca="false">1/D8-1</f>
        <v>0.0385</v>
      </c>
      <c r="H8" s="18" t="n">
        <f aca="false">1/(1+B8-CsaSp)</f>
        <v>0.964320154291225</v>
      </c>
      <c r="I8" s="18" t="n">
        <f aca="false">B8*SUM($D$8:D8)+D8</f>
        <v>1</v>
      </c>
      <c r="J8" s="18" t="n">
        <f aca="false">C8*SUM($E$8:E8)+E8</f>
        <v>1</v>
      </c>
    </row>
    <row r="9" customFormat="false" ht="15" hidden="false" customHeight="false" outlineLevel="0" collapsed="false">
      <c r="A9" s="20" t="s">
        <v>33</v>
      </c>
      <c r="B9" s="21" t="n">
        <f aca="false">INDEX(ParG,2)</f>
        <v>0.0398</v>
      </c>
      <c r="C9" s="21" t="n">
        <f aca="false">INDEX(ParU,2)</f>
        <v>0.0512</v>
      </c>
      <c r="D9" s="22" t="n">
        <f aca="false">(1-B9*SUM($D$8:D8))/(1+B9)</f>
        <v>0.924865833333565</v>
      </c>
      <c r="E9" s="22" t="n">
        <f aca="false">(1-C9*SUM($E$8:E8))/(1+C9)</f>
        <v>0.904928942295363</v>
      </c>
      <c r="F9" s="23" t="n">
        <f aca="false">Spot*D9/E9</f>
        <v>1.27753930461605</v>
      </c>
      <c r="G9" s="21" t="n">
        <f aca="false">D8/D9-1</f>
        <v>0.0411534995494143</v>
      </c>
      <c r="H9" s="22" t="n">
        <f aca="false">(1-(B9-CsaSp)*SUM($H$8:H8))/(1+B9-CsaSp)</f>
        <v>0.927541691313345</v>
      </c>
      <c r="I9" s="22" t="n">
        <f aca="false">B9*SUM($D$8:D9)+D9</f>
        <v>1</v>
      </c>
      <c r="J9" s="22" t="n">
        <f aca="false">C9*SUM($E$8:E9)+E9</f>
        <v>1</v>
      </c>
    </row>
    <row r="10" customFormat="false" ht="15" hidden="false" customHeight="false" outlineLevel="0" collapsed="false">
      <c r="A10" s="7" t="s">
        <v>34</v>
      </c>
      <c r="B10" s="17" t="n">
        <f aca="false">INDEX(ParG,3)</f>
        <v>0.0412</v>
      </c>
      <c r="C10" s="17" t="n">
        <f aca="false">INDEX(ParU,3)</f>
        <v>0.0521</v>
      </c>
      <c r="D10" s="18" t="n">
        <f aca="false">(1-B10*SUM($D$8:D9))/(1+B10)</f>
        <v>0.8857308134348</v>
      </c>
      <c r="E10" s="18" t="n">
        <f aca="false">(1-C10*SUM($E$8:E9))/(1+C10)</f>
        <v>0.858528439653216</v>
      </c>
      <c r="F10" s="19" t="n">
        <f aca="false">Spot*D10/E10</f>
        <v>1.28960610465125</v>
      </c>
      <c r="G10" s="17" t="n">
        <f aca="false">D9/D10-1</f>
        <v>0.0441838754000239</v>
      </c>
      <c r="H10" s="18" t="n">
        <f aca="false">(1-(B10-CsaSp)*SUM($H$8:H9))/(1+B10-CsaSp)</f>
        <v>0.889576882494468</v>
      </c>
      <c r="I10" s="18" t="n">
        <f aca="false">B10*SUM($D$8:D10)+D10</f>
        <v>1</v>
      </c>
      <c r="J10" s="18" t="n">
        <f aca="false">C10*SUM($E$8:E10)+E10</f>
        <v>1</v>
      </c>
    </row>
    <row r="11" customFormat="false" ht="15" hidden="false" customHeight="false" outlineLevel="0" collapsed="false">
      <c r="A11" s="20" t="s">
        <v>35</v>
      </c>
      <c r="B11" s="21" t="n">
        <f aca="false">INDEX(ParG,4)</f>
        <v>0.0425</v>
      </c>
      <c r="C11" s="21" t="n">
        <f aca="false">INDEX(ParU,4)</f>
        <v>0.053</v>
      </c>
      <c r="D11" s="22" t="n">
        <f aca="false">(1-B11*SUM($D$8:D10))/(1+B11)</f>
        <v>0.846163292379199</v>
      </c>
      <c r="E11" s="22" t="n">
        <f aca="false">(1-C11*SUM($E$8:E10))/(1+C11)</f>
        <v>0.812995814930023</v>
      </c>
      <c r="F11" s="23" t="n">
        <f aca="false">Spot*D11/E11</f>
        <v>1.30099576904346</v>
      </c>
      <c r="G11" s="21" t="n">
        <f aca="false">D10/D11-1</f>
        <v>0.0467610937651841</v>
      </c>
      <c r="H11" s="22" t="n">
        <f aca="false">(1-(B11-CsaSp)*SUM($H$8:H10))/(1+B11-CsaSp)</f>
        <v>0.851067254705033</v>
      </c>
      <c r="I11" s="22" t="n">
        <f aca="false">B11*SUM($D$8:D11)+D11</f>
        <v>1</v>
      </c>
      <c r="J11" s="22" t="n">
        <f aca="false">C11*SUM($E$8:E11)+E11</f>
        <v>1</v>
      </c>
    </row>
    <row r="12" customFormat="false" ht="15" hidden="false" customHeight="false" outlineLevel="0" collapsed="false">
      <c r="A12" s="7" t="s">
        <v>36</v>
      </c>
      <c r="B12" s="17" t="n">
        <f aca="false">INDEX(ParG,5)</f>
        <v>0.0436</v>
      </c>
      <c r="C12" s="17" t="n">
        <f aca="false">INDEX(ParU,5)</f>
        <v>0.0538</v>
      </c>
      <c r="D12" s="18" t="n">
        <f aca="false">(1-B12*SUM($D$8:D11))/(1+B12)</f>
        <v>0.806996585298245</v>
      </c>
      <c r="E12" s="18" t="n">
        <f aca="false">(1-C12*SUM($E$8:E11))/(1+C12)</f>
        <v>0.768811074444601</v>
      </c>
      <c r="F12" s="19" t="n">
        <f aca="false">Spot*D12/E12</f>
        <v>1.31208532909276</v>
      </c>
      <c r="G12" s="17" t="n">
        <f aca="false">D11/D12-1</f>
        <v>0.048533919219099</v>
      </c>
      <c r="H12" s="18" t="n">
        <f aca="false">(1-(B12-CsaSp)*SUM($H$8:H11))/(1+B12-CsaSp)</f>
        <v>0.812850492394155</v>
      </c>
      <c r="I12" s="18" t="n">
        <f aca="false">B12*SUM($D$8:D12)+D12</f>
        <v>1</v>
      </c>
      <c r="J12" s="18" t="n">
        <f aca="false">C12*SUM($E$8:E12)+E12</f>
        <v>1</v>
      </c>
    </row>
    <row r="13" customFormat="false" ht="15" hidden="false" customHeight="false" outlineLevel="0" collapsed="false">
      <c r="A13" s="9" t="s">
        <v>76</v>
      </c>
    </row>
    <row r="15" customFormat="false" ht="15" hidden="false" customHeight="false" outlineLevel="0" collapsed="false">
      <c r="A15" s="4" t="s">
        <v>77</v>
      </c>
      <c r="B15" s="6"/>
      <c r="C15" s="6"/>
      <c r="D15" s="6"/>
      <c r="E15" s="6"/>
      <c r="F15" s="6"/>
      <c r="G15" s="6"/>
      <c r="H15" s="6"/>
    </row>
    <row r="17" customFormat="false" ht="15" hidden="false" customHeight="false" outlineLevel="0" collapsed="false">
      <c r="A17" s="7" t="s">
        <v>78</v>
      </c>
      <c r="B17" s="18" t="n">
        <f aca="false">SUM(DFG)</f>
        <v>4.42668382343474</v>
      </c>
    </row>
    <row r="18" customFormat="false" ht="15" hidden="false" customHeight="false" outlineLevel="0" collapsed="false">
      <c r="A18" s="7" t="s">
        <v>79</v>
      </c>
      <c r="B18" s="18" t="n">
        <f aca="false">SUM(DFCSA)</f>
        <v>4.44535647519823</v>
      </c>
    </row>
    <row r="19" customFormat="false" ht="15" hidden="false" customHeight="false" outlineLevel="0" collapsed="false">
      <c r="A19" s="7" t="s">
        <v>80</v>
      </c>
      <c r="B19" s="17" t="n">
        <f aca="false">(1-INDEX(DFG,5))/SUM(DFG)</f>
        <v>0.0436</v>
      </c>
    </row>
    <row r="20" customFormat="false" ht="15" hidden="false" customHeight="false" outlineLevel="0" collapsed="false">
      <c r="A20" s="7" t="s">
        <v>81</v>
      </c>
      <c r="B20" s="17" t="n">
        <f aca="false">SwapMid+BoIrs</f>
        <v>0.04385</v>
      </c>
    </row>
    <row r="21" customFormat="false" ht="15" hidden="false" customHeight="false" outlineLevel="0" collapsed="false">
      <c r="A21" s="7" t="s">
        <v>82</v>
      </c>
      <c r="B21" s="18" t="n">
        <f aca="false">INDEX(DFG,1)/INDEX(DFU,1)</f>
        <v>1.01155512758787</v>
      </c>
    </row>
    <row r="22" customFormat="false" ht="15" hidden="false" customHeight="false" outlineLevel="0" collapsed="false">
      <c r="A22" s="7" t="s">
        <v>83</v>
      </c>
      <c r="B22" s="19" t="n">
        <f aca="false">Spot*Diff1</f>
        <v>1.26444390948483</v>
      </c>
    </row>
    <row r="23" customFormat="false" ht="15" hidden="false" customHeight="false" outlineLevel="0" collapsed="false">
      <c r="A23" s="7" t="s">
        <v>84</v>
      </c>
      <c r="B23" s="24" t="n">
        <f aca="false">UsdSales*Cover</f>
        <v>135000000</v>
      </c>
    </row>
    <row r="24" customFormat="false" ht="15" hidden="false" customHeight="false" outlineLevel="0" collapsed="false">
      <c r="A24" s="7" t="s">
        <v>85</v>
      </c>
      <c r="B24" s="24" t="n">
        <f aca="false">UsdSales*(1-Cover)</f>
        <v>45000000</v>
      </c>
    </row>
    <row r="25" customFormat="false" ht="15" hidden="false" customHeight="false" outlineLevel="0" collapsed="false">
      <c r="A25" s="7" t="s">
        <v>86</v>
      </c>
      <c r="B25" s="24" t="n">
        <f aca="false">Cash+Facility</f>
        <v>36000000</v>
      </c>
    </row>
    <row r="27" customFormat="false" ht="15" hidden="false" customHeight="false" outlineLevel="0" collapsed="false">
      <c r="A27" s="4" t="s">
        <v>87</v>
      </c>
      <c r="B27" s="6"/>
      <c r="C27" s="6"/>
      <c r="D27" s="6"/>
      <c r="E27" s="6"/>
      <c r="F27" s="6"/>
      <c r="G27" s="6"/>
      <c r="H27" s="6"/>
    </row>
    <row r="29" customFormat="false" ht="15" hidden="false" customHeight="false" outlineLevel="0" collapsed="false">
      <c r="A29" s="7" t="s">
        <v>88</v>
      </c>
      <c r="B29" s="25" t="n">
        <f aca="false">MAX(ABS(MAX(I8:J12)-1),ABS(1-MIN(I8:J12)))</f>
        <v>0</v>
      </c>
    </row>
    <row r="30" customFormat="false" ht="15" hidden="false" customHeight="false" outlineLevel="0" collapsed="false">
      <c r="A30" s="7" t="s">
        <v>89</v>
      </c>
      <c r="B30" s="25" t="n">
        <f aca="false">INDEX(ParG,5)-SwapMid</f>
        <v>0</v>
      </c>
    </row>
    <row r="31" customFormat="false" ht="15" hidden="false" customHeight="false" outlineLevel="0" collapsed="false">
      <c r="A31" s="7" t="s">
        <v>90</v>
      </c>
      <c r="B31" s="25" t="n">
        <f aca="false">Spot*Diff1-INDEX(FWDFX,1)</f>
        <v>0</v>
      </c>
    </row>
    <row r="32" customFormat="false" ht="15" hidden="false" customHeight="false" outlineLevel="0" collapsed="false">
      <c r="A32" s="7" t="s">
        <v>91</v>
      </c>
      <c r="B32" s="25" t="n">
        <f aca="false">SUMPRODUCT(FWDIMP,DFG)-(1-INDEX(DFG,5))</f>
        <v>0</v>
      </c>
    </row>
    <row r="33" customFormat="false" ht="15" hidden="false" customHeight="false" outlineLevel="0" collapsed="false">
      <c r="A33" s="9"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5" min="2" style="0" width="20"/>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row>
    <row r="5" customFormat="false" ht="15" hidden="false" customHeight="false" outlineLevel="0" collapsed="false">
      <c r="A5" s="4" t="s">
        <v>95</v>
      </c>
      <c r="B5" s="6"/>
      <c r="C5" s="6"/>
      <c r="D5" s="6"/>
      <c r="E5" s="6"/>
    </row>
    <row r="7" customFormat="false" ht="15" hidden="false" customHeight="false" outlineLevel="0" collapsed="false">
      <c r="A7" s="7" t="s">
        <v>96</v>
      </c>
      <c r="B7" s="26" t="n">
        <f aca="false">CSpot*(1+CRf)</f>
        <v>2550.94</v>
      </c>
    </row>
    <row r="8" customFormat="false" ht="15" hidden="false" customHeight="false" outlineLevel="0" collapsed="false">
      <c r="A8" s="7" t="s">
        <v>97</v>
      </c>
      <c r="B8" s="18" t="n">
        <f aca="false">(LN('Black-76'!$B$7/CapK)+0.5*CVol^2)/CVol</f>
        <v>-0.0856453159494027</v>
      </c>
    </row>
    <row r="9" customFormat="false" ht="15" hidden="false" customHeight="false" outlineLevel="0" collapsed="false">
      <c r="A9" s="7" t="s">
        <v>98</v>
      </c>
      <c r="B9" s="18" t="n">
        <f aca="false">(LN('Black-76'!$B$7/CapK)+0.5*CVol^2)/CVol-CVol</f>
        <v>-0.325645315949403</v>
      </c>
    </row>
    <row r="10" customFormat="false" ht="15" hidden="false" customHeight="false" outlineLevel="0" collapsed="false">
      <c r="A10" s="7" t="s">
        <v>99</v>
      </c>
      <c r="B10" s="26" t="n">
        <f aca="false">EXP(-CRf)*('Black-76'!$B$7*_xlfn.NORM.S.DIST((LN('Black-76'!$B$7/CapK)+0.5*CVol^2)/CVol,TRUE())-CapK*_xlfn.NORM.S.DIST((LN('Black-76'!$B$7/CapK)+0.5*CVol^2)/CVol-CVol,TRUE()))</f>
        <v>182.838569544106</v>
      </c>
    </row>
    <row r="11" customFormat="false" ht="15" hidden="false" customHeight="false" outlineLevel="0" collapsed="false">
      <c r="A11" s="7" t="s">
        <v>100</v>
      </c>
      <c r="B11" s="18" t="n">
        <f aca="false">(LN('Black-76'!$B$7/FloK)+0.5*CVol^2)/CVol</f>
        <v>0.551469982332519</v>
      </c>
    </row>
    <row r="12" customFormat="false" ht="15" hidden="false" customHeight="false" outlineLevel="0" collapsed="false">
      <c r="A12" s="7" t="s">
        <v>101</v>
      </c>
      <c r="B12" s="18" t="n">
        <f aca="false">(LN('Black-76'!$B$7/FloK)+0.5*CVol^2)/CVol-CVol</f>
        <v>0.311469982332519</v>
      </c>
    </row>
    <row r="13" customFormat="false" ht="15" hidden="false" customHeight="false" outlineLevel="0" collapsed="false">
      <c r="A13" s="7" t="s">
        <v>102</v>
      </c>
      <c r="B13" s="26" t="n">
        <f aca="false">EXP(-CRf)*(FloK*_xlfn.NORM.S.DIST(-((LN('Black-76'!$B$7/FloK)+0.5*CVol^2)/CVol-CVol),TRUE())-'Black-76'!$B$7*_xlfn.NORM.S.DIST(-((LN('Black-76'!$B$7/FloK)+0.5*CVol^2)/CVol),TRUE()))</f>
        <v>122.175665943355</v>
      </c>
    </row>
    <row r="14" customFormat="false" ht="15" hidden="false" customHeight="false" outlineLevel="0" collapsed="false">
      <c r="A14" s="7" t="s">
        <v>103</v>
      </c>
      <c r="B14" s="26" t="n">
        <f aca="false">'Black-76'!$B$10-'Black-76'!$B$13</f>
        <v>60.6629036007511</v>
      </c>
    </row>
    <row r="15" customFormat="false" ht="15" hidden="false" customHeight="false" outlineLevel="0" collapsed="false">
      <c r="A15" s="7" t="s">
        <v>104</v>
      </c>
      <c r="B15" s="24" t="n">
        <f aca="false">'Black-76'!$B$14*Tonnes</f>
        <v>1577235.49361953</v>
      </c>
    </row>
    <row r="16" customFormat="false" ht="15" hidden="false" customHeight="false" outlineLevel="0" collapsed="false">
      <c r="A16" s="7" t="s">
        <v>105</v>
      </c>
      <c r="B16" s="25" t="n">
        <f aca="false">EXP(-CRf)*('Black-76'!$B$7*_xlfn.NORM.S.DIST((LN('Black-76'!$B$7/CapK)+0.5*CVol^2)/CVol,TRUE())-CapK*_xlfn.NORM.S.DIST((LN('Black-76'!$B$7/CapK)+0.5*CVol^2)/CVol-CVol,TRUE()))-EXP(-CRf)*(CapK*_xlfn.NORM.S.DIST(-((LN('Black-76'!$B$7/CapK)+0.5*CVol^2)/CVol-CVol),TRUE())-'Black-76'!$B$7*_xlfn.NORM.S.DIST(-((LN('Black-76'!$B$7/CapK)+0.5*CVol^2)/CVol),TRUE()))-EXP(-CRf)*('Black-76'!$B$7-CapK)</f>
        <v>0</v>
      </c>
    </row>
    <row r="17" customFormat="false" ht="15" hidden="false" customHeight="false" outlineLevel="0" collapsed="false">
      <c r="A17" s="9" t="s">
        <v>106</v>
      </c>
    </row>
    <row r="19" customFormat="false" ht="15" hidden="false" customHeight="false" outlineLevel="0" collapsed="false">
      <c r="A19" s="4" t="s">
        <v>107</v>
      </c>
      <c r="B19" s="6"/>
      <c r="C19" s="6"/>
      <c r="D19" s="6"/>
      <c r="E19" s="6"/>
    </row>
    <row r="21" customFormat="false" ht="15" hidden="false" customHeight="false" outlineLevel="0" collapsed="false">
      <c r="A21" s="9" t="s">
        <v>108</v>
      </c>
    </row>
    <row r="23" customFormat="false" ht="30" hidden="false" customHeight="true" outlineLevel="0" collapsed="false">
      <c r="A23" s="11" t="s">
        <v>109</v>
      </c>
      <c r="B23" s="12" t="s">
        <v>110</v>
      </c>
      <c r="C23" s="12" t="s">
        <v>111</v>
      </c>
      <c r="D23" s="12" t="s">
        <v>112</v>
      </c>
      <c r="E23" s="12" t="s">
        <v>113</v>
      </c>
    </row>
    <row r="24" customFormat="false" ht="15" hidden="false" customHeight="false" outlineLevel="0" collapsed="false">
      <c r="A24" s="7" t="s">
        <v>114</v>
      </c>
      <c r="B24" s="26" t="n">
        <f aca="false">'Black-76'!$B$7*0.95</f>
        <v>2423.393</v>
      </c>
      <c r="C24" s="18" t="n">
        <f aca="false">(LN('Black-76'!$B$7/B24)-0.5*CVol^2)/CVol</f>
        <v>0.093722059948127</v>
      </c>
      <c r="D24" s="26" t="n">
        <f aca="false">EXP(-CRf)*(B24*_xlfn.NORM.S.DIST(-((LN('Black-76'!$B$7/B24)-0.5*CVol^2)/CVol),TRUE())-'Black-76'!$B$7*_xlfn.NORM.S.DIST(-((LN('Black-76'!$B$7/B24)-0.5*CVol^2)/CVol+CVol),TRUE()))</f>
        <v>171.938732073515</v>
      </c>
      <c r="E24" s="18" t="n">
        <f aca="false">EXP(-CRf)*_xlfn.NORM.S.DIST(-((LN('Black-76'!$B$7/B24)-0.5*CVol^2)/CVol),TRUE())</f>
        <v>0.443990511558327</v>
      </c>
    </row>
    <row r="25" customFormat="false" ht="15" hidden="false" customHeight="false" outlineLevel="0" collapsed="false">
      <c r="A25" s="20" t="s">
        <v>115</v>
      </c>
      <c r="B25" s="27" t="n">
        <f aca="false">B24+('Black-76'!$B$10-EXP(-CRf)*(B24*_xlfn.NORM.S.DIST(-((LN('Black-76'!$B$7/B24)-0.5*CVol^2)/CVol),TRUE())-'Black-76'!$B$7*_xlfn.NORM.S.DIST(-((LN('Black-76'!$B$7/B24)-0.5*CVol^2)/CVol+CVol),TRUE())))/(EXP(-CRf)*_xlfn.NORM.S.DIST(-((LN('Black-76'!$B$7/B24)-0.5*CVol^2)/CVol),TRUE()))</f>
        <v>2447.94270812852</v>
      </c>
      <c r="C25" s="22" t="n">
        <f aca="false">(LN('Black-76'!$B$7/B25)-0.5*CVol^2)/CVol</f>
        <v>0.0517248244206922</v>
      </c>
      <c r="D25" s="27" t="n">
        <f aca="false">EXP(-CRf)*(B25*_xlfn.NORM.S.DIST(-((LN('Black-76'!$B$7/B25)-0.5*CVol^2)/CVol),TRUE())-'Black-76'!$B$7*_xlfn.NORM.S.DIST(-((LN('Black-76'!$B$7/B25)-0.5*CVol^2)/CVol+CVol),TRUE()))</f>
        <v>183.03562217379</v>
      </c>
      <c r="E25" s="22" t="n">
        <f aca="false">EXP(-CRf)*_xlfn.NORM.S.DIST(-((LN('Black-76'!$B$7/B25)-0.5*CVol^2)/CVol),TRUE())</f>
        <v>0.460025094332275</v>
      </c>
    </row>
    <row r="26" customFormat="false" ht="15" hidden="false" customHeight="false" outlineLevel="0" collapsed="false">
      <c r="A26" s="7" t="s">
        <v>116</v>
      </c>
      <c r="B26" s="26" t="n">
        <f aca="false">B25+('Black-76'!$B$10-EXP(-CRf)*(B25*_xlfn.NORM.S.DIST(-((LN('Black-76'!$B$7/B25)-0.5*CVol^2)/CVol),TRUE())-'Black-76'!$B$7*_xlfn.NORM.S.DIST(-((LN('Black-76'!$B$7/B25)-0.5*CVol^2)/CVol+CVol),TRUE())))/(EXP(-CRf)*_xlfn.NORM.S.DIST(-((LN('Black-76'!$B$7/B25)-0.5*CVol^2)/CVol),TRUE()))</f>
        <v>2447.51435621444</v>
      </c>
      <c r="C26" s="18" t="n">
        <f aca="false">(LN('Black-76'!$B$7/B26)-0.5*CVol^2)/CVol</f>
        <v>0.0524539901035318</v>
      </c>
      <c r="D26" s="26" t="n">
        <f aca="false">EXP(-CRf)*(B26*_xlfn.NORM.S.DIST(-((LN('Black-76'!$B$7/B26)-0.5*CVol^2)/CVol),TRUE())-'Black-76'!$B$7*_xlfn.NORM.S.DIST(-((LN('Black-76'!$B$7/B26)-0.5*CVol^2)/CVol+CVol),TRUE()))</f>
        <v>182.838629249691</v>
      </c>
      <c r="E26" s="18" t="n">
        <f aca="false">EXP(-CRf)*_xlfn.NORM.S.DIST(-((LN('Black-76'!$B$7/B26)-0.5*CVol^2)/CVol),TRUE())</f>
        <v>0.459746319118457</v>
      </c>
    </row>
    <row r="27" customFormat="false" ht="15" hidden="false" customHeight="false" outlineLevel="0" collapsed="false">
      <c r="A27" s="20" t="s">
        <v>117</v>
      </c>
      <c r="B27" s="27" t="n">
        <f aca="false">B26+('Black-76'!$B$10-EXP(-CRf)*(B26*_xlfn.NORM.S.DIST(-((LN('Black-76'!$B$7/B26)-0.5*CVol^2)/CVol),TRUE())-'Black-76'!$B$7*_xlfn.NORM.S.DIST(-((LN('Black-76'!$B$7/B26)-0.5*CVol^2)/CVol+CVol),TRUE())))/(EXP(-CRf)*_xlfn.NORM.S.DIST(-((LN('Black-76'!$B$7/B26)-0.5*CVol^2)/CVol),TRUE()))</f>
        <v>2447.51422634807</v>
      </c>
      <c r="C27" s="22" t="n">
        <f aca="false">(LN('Black-76'!$B$7/B27)-0.5*CVol^2)/CVol</f>
        <v>0.0524542111890105</v>
      </c>
      <c r="D27" s="27" t="n">
        <f aca="false">EXP(-CRf)*(B27*_xlfn.NORM.S.DIST(-((LN('Black-76'!$B$7/B27)-0.5*CVol^2)/CVol),TRUE())-'Black-76'!$B$7*_xlfn.NORM.S.DIST(-((LN('Black-76'!$B$7/B27)-0.5*CVol^2)/CVol+CVol),TRUE()))</f>
        <v>182.838569544112</v>
      </c>
      <c r="E27" s="22" t="n">
        <f aca="false">EXP(-CRf)*_xlfn.NORM.S.DIST(-((LN('Black-76'!$B$7/B27)-0.5*CVol^2)/CVol),TRUE())</f>
        <v>0.459746234594487</v>
      </c>
    </row>
    <row r="28" customFormat="false" ht="15" hidden="false" customHeight="false" outlineLevel="0" collapsed="false">
      <c r="A28" s="7" t="s">
        <v>118</v>
      </c>
      <c r="B28" s="26" t="n">
        <f aca="false">B27+('Black-76'!$B$10-EXP(-CRf)*(B27*_xlfn.NORM.S.DIST(-((LN('Black-76'!$B$7/B27)-0.5*CVol^2)/CVol),TRUE())-'Black-76'!$B$7*_xlfn.NORM.S.DIST(-((LN('Black-76'!$B$7/B27)-0.5*CVol^2)/CVol+CVol),TRUE())))/(EXP(-CRf)*_xlfn.NORM.S.DIST(-((LN('Black-76'!$B$7/B27)-0.5*CVol^2)/CVol),TRUE()))</f>
        <v>2447.51422634806</v>
      </c>
      <c r="C28" s="18" t="n">
        <f aca="false">(LN('Black-76'!$B$7/B28)-0.5*CVol^2)/CVol</f>
        <v>0.0524542111890309</v>
      </c>
      <c r="D28" s="26" t="n">
        <f aca="false">EXP(-CRf)*(B28*_xlfn.NORM.S.DIST(-((LN('Black-76'!$B$7/B28)-0.5*CVol^2)/CVol),TRUE())-'Black-76'!$B$7*_xlfn.NORM.S.DIST(-((LN('Black-76'!$B$7/B28)-0.5*CVol^2)/CVol+CVol),TRUE()))</f>
        <v>182.838569544106</v>
      </c>
      <c r="E28" s="18" t="n">
        <f aca="false">EXP(-CRf)*_xlfn.NORM.S.DIST(-((LN('Black-76'!$B$7/B28)-0.5*CVol^2)/CVol),TRUE())</f>
        <v>0.45974623459448</v>
      </c>
    </row>
    <row r="29" customFormat="false" ht="15" hidden="false" customHeight="false" outlineLevel="0" collapsed="false">
      <c r="A29" s="20" t="s">
        <v>119</v>
      </c>
      <c r="B29" s="27" t="n">
        <f aca="false">B28+('Black-76'!$B$10-EXP(-CRf)*(B28*_xlfn.NORM.S.DIST(-((LN('Black-76'!$B$7/B28)-0.5*CVol^2)/CVol),TRUE())-'Black-76'!$B$7*_xlfn.NORM.S.DIST(-((LN('Black-76'!$B$7/B28)-0.5*CVol^2)/CVol+CVol),TRUE())))/(EXP(-CRf)*_xlfn.NORM.S.DIST(-((LN('Black-76'!$B$7/B28)-0.5*CVol^2)/CVol),TRUE()))</f>
        <v>2447.51422634806</v>
      </c>
      <c r="C29" s="22" t="n">
        <f aca="false">(LN('Black-76'!$B$7/B29)-0.5*CVol^2)/CVol</f>
        <v>0.0524542111890309</v>
      </c>
      <c r="D29" s="27" t="n">
        <f aca="false">EXP(-CRf)*(B29*_xlfn.NORM.S.DIST(-((LN('Black-76'!$B$7/B29)-0.5*CVol^2)/CVol),TRUE())-'Black-76'!$B$7*_xlfn.NORM.S.DIST(-((LN('Black-76'!$B$7/B29)-0.5*CVol^2)/CVol+CVol),TRUE()))</f>
        <v>182.838569544106</v>
      </c>
      <c r="E29" s="22" t="n">
        <f aca="false">EXP(-CRf)*_xlfn.NORM.S.DIST(-((LN('Black-76'!$B$7/B29)-0.5*CVol^2)/CVol),TRUE())</f>
        <v>0.45974623459448</v>
      </c>
    </row>
    <row r="30" customFormat="false" ht="15" hidden="false" customHeight="false" outlineLevel="0" collapsed="false">
      <c r="A30" s="7" t="s">
        <v>120</v>
      </c>
      <c r="B30" s="26" t="n">
        <f aca="false">B29+('Black-76'!$B$10-EXP(-CRf)*(B29*_xlfn.NORM.S.DIST(-((LN('Black-76'!$B$7/B29)-0.5*CVol^2)/CVol),TRUE())-'Black-76'!$B$7*_xlfn.NORM.S.DIST(-((LN('Black-76'!$B$7/B29)-0.5*CVol^2)/CVol+CVol),TRUE())))/(EXP(-CRf)*_xlfn.NORM.S.DIST(-((LN('Black-76'!$B$7/B29)-0.5*CVol^2)/CVol),TRUE()))</f>
        <v>2447.51422634806</v>
      </c>
      <c r="C30" s="18" t="n">
        <f aca="false">(LN('Black-76'!$B$7/B30)-0.5*CVol^2)/CVol</f>
        <v>0.0524542111890309</v>
      </c>
      <c r="D30" s="26" t="n">
        <f aca="false">EXP(-CRf)*(B30*_xlfn.NORM.S.DIST(-((LN('Black-76'!$B$7/B30)-0.5*CVol^2)/CVol),TRUE())-'Black-76'!$B$7*_xlfn.NORM.S.DIST(-((LN('Black-76'!$B$7/B30)-0.5*CVol^2)/CVol+CVol),TRUE()))</f>
        <v>182.838569544106</v>
      </c>
      <c r="E30" s="18" t="n">
        <f aca="false">EXP(-CRf)*_xlfn.NORM.S.DIST(-((LN('Black-76'!$B$7/B30)-0.5*CVol^2)/CVol),TRUE())</f>
        <v>0.45974623459448</v>
      </c>
    </row>
    <row r="31" customFormat="false" ht="15" hidden="false" customHeight="false" outlineLevel="0" collapsed="false">
      <c r="A31" s="20" t="s">
        <v>121</v>
      </c>
      <c r="B31" s="27" t="n">
        <f aca="false">B30+('Black-76'!$B$10-EXP(-CRf)*(B30*_xlfn.NORM.S.DIST(-((LN('Black-76'!$B$7/B30)-0.5*CVol^2)/CVol),TRUE())-'Black-76'!$B$7*_xlfn.NORM.S.DIST(-((LN('Black-76'!$B$7/B30)-0.5*CVol^2)/CVol+CVol),TRUE())))/(EXP(-CRf)*_xlfn.NORM.S.DIST(-((LN('Black-76'!$B$7/B30)-0.5*CVol^2)/CVol),TRUE()))</f>
        <v>2447.51422634806</v>
      </c>
      <c r="C31" s="22" t="n">
        <f aca="false">(LN('Black-76'!$B$7/B31)-0.5*CVol^2)/CVol</f>
        <v>0.0524542111890309</v>
      </c>
      <c r="D31" s="27" t="n">
        <f aca="false">EXP(-CRf)*(B31*_xlfn.NORM.S.DIST(-((LN('Black-76'!$B$7/B31)-0.5*CVol^2)/CVol),TRUE())-'Black-76'!$B$7*_xlfn.NORM.S.DIST(-((LN('Black-76'!$B$7/B31)-0.5*CVol^2)/CVol+CVol),TRUE()))</f>
        <v>182.838569544106</v>
      </c>
      <c r="E31" s="22" t="n">
        <f aca="false">EXP(-CRf)*_xlfn.NORM.S.DIST(-((LN('Black-76'!$B$7/B31)-0.5*CVol^2)/CVol),TRUE())</f>
        <v>0.45974623459448</v>
      </c>
    </row>
    <row r="32" customFormat="false" ht="15" hidden="false" customHeight="false" outlineLevel="0" collapsed="false">
      <c r="A32" s="7" t="s">
        <v>122</v>
      </c>
      <c r="B32" s="26" t="n">
        <f aca="false">B31+('Black-76'!$B$10-EXP(-CRf)*(B31*_xlfn.NORM.S.DIST(-((LN('Black-76'!$B$7/B31)-0.5*CVol^2)/CVol),TRUE())-'Black-76'!$B$7*_xlfn.NORM.S.DIST(-((LN('Black-76'!$B$7/B31)-0.5*CVol^2)/CVol+CVol),TRUE())))/(EXP(-CRf)*_xlfn.NORM.S.DIST(-((LN('Black-76'!$B$7/B31)-0.5*CVol^2)/CVol),TRUE()))</f>
        <v>2447.51422634806</v>
      </c>
      <c r="C32" s="18" t="n">
        <f aca="false">(LN('Black-76'!$B$7/B32)-0.5*CVol^2)/CVol</f>
        <v>0.0524542111890309</v>
      </c>
      <c r="D32" s="26" t="n">
        <f aca="false">EXP(-CRf)*(B32*_xlfn.NORM.S.DIST(-((LN('Black-76'!$B$7/B32)-0.5*CVol^2)/CVol),TRUE())-'Black-76'!$B$7*_xlfn.NORM.S.DIST(-((LN('Black-76'!$B$7/B32)-0.5*CVol^2)/CVol+CVol),TRUE()))</f>
        <v>182.838569544106</v>
      </c>
      <c r="E32" s="18" t="n">
        <f aca="false">EXP(-CRf)*_xlfn.NORM.S.DIST(-((LN('Black-76'!$B$7/B32)-0.5*CVol^2)/CVol),TRUE())</f>
        <v>0.45974623459448</v>
      </c>
    </row>
    <row r="33" customFormat="false" ht="15" hidden="false" customHeight="false" outlineLevel="0" collapsed="false">
      <c r="A33" s="20" t="s">
        <v>123</v>
      </c>
      <c r="B33" s="27" t="n">
        <f aca="false">B32+('Black-76'!$B$10-EXP(-CRf)*(B32*_xlfn.NORM.S.DIST(-((LN('Black-76'!$B$7/B32)-0.5*CVol^2)/CVol),TRUE())-'Black-76'!$B$7*_xlfn.NORM.S.DIST(-((LN('Black-76'!$B$7/B32)-0.5*CVol^2)/CVol+CVol),TRUE())))/(EXP(-CRf)*_xlfn.NORM.S.DIST(-((LN('Black-76'!$B$7/B32)-0.5*CVol^2)/CVol),TRUE()))</f>
        <v>2447.51422634806</v>
      </c>
      <c r="C33" s="22" t="n">
        <f aca="false">(LN('Black-76'!$B$7/B33)-0.5*CVol^2)/CVol</f>
        <v>0.0524542111890309</v>
      </c>
      <c r="D33" s="27" t="n">
        <f aca="false">EXP(-CRf)*(B33*_xlfn.NORM.S.DIST(-((LN('Black-76'!$B$7/B33)-0.5*CVol^2)/CVol),TRUE())-'Black-76'!$B$7*_xlfn.NORM.S.DIST(-((LN('Black-76'!$B$7/B33)-0.5*CVol^2)/CVol+CVol),TRUE()))</f>
        <v>182.838569544106</v>
      </c>
      <c r="E33" s="22" t="n">
        <f aca="false">EXP(-CRf)*_xlfn.NORM.S.DIST(-((LN('Black-76'!$B$7/B33)-0.5*CVol^2)/CVol),TRUE())</f>
        <v>0.45974623459448</v>
      </c>
    </row>
    <row r="34" customFormat="false" ht="15" hidden="false" customHeight="false" outlineLevel="0" collapsed="false">
      <c r="A34" s="7" t="s">
        <v>124</v>
      </c>
      <c r="B34" s="26" t="n">
        <f aca="false">B33+('Black-76'!$B$10-EXP(-CRf)*(B33*_xlfn.NORM.S.DIST(-((LN('Black-76'!$B$7/B33)-0.5*CVol^2)/CVol),TRUE())-'Black-76'!$B$7*_xlfn.NORM.S.DIST(-((LN('Black-76'!$B$7/B33)-0.5*CVol^2)/CVol+CVol),TRUE())))/(EXP(-CRf)*_xlfn.NORM.S.DIST(-((LN('Black-76'!$B$7/B33)-0.5*CVol^2)/CVol),TRUE()))</f>
        <v>2447.51422634806</v>
      </c>
      <c r="C34" s="18" t="n">
        <f aca="false">(LN('Black-76'!$B$7/B34)-0.5*CVol^2)/CVol</f>
        <v>0.0524542111890309</v>
      </c>
      <c r="D34" s="26" t="n">
        <f aca="false">EXP(-CRf)*(B34*_xlfn.NORM.S.DIST(-((LN('Black-76'!$B$7/B34)-0.5*CVol^2)/CVol),TRUE())-'Black-76'!$B$7*_xlfn.NORM.S.DIST(-((LN('Black-76'!$B$7/B34)-0.5*CVol^2)/CVol+CVol),TRUE()))</f>
        <v>182.838569544106</v>
      </c>
      <c r="E34" s="18" t="n">
        <f aca="false">EXP(-CRf)*_xlfn.NORM.S.DIST(-((LN('Black-76'!$B$7/B34)-0.5*CVol^2)/CVol),TRUE())</f>
        <v>0.45974623459448</v>
      </c>
    </row>
    <row r="35" customFormat="false" ht="15" hidden="false" customHeight="false" outlineLevel="0" collapsed="false">
      <c r="A35" s="7" t="s">
        <v>125</v>
      </c>
      <c r="B35" s="26" t="n">
        <f aca="false">'Black-76'!$B$34</f>
        <v>2447.51422634806</v>
      </c>
    </row>
    <row r="36" customFormat="false" ht="15" hidden="false" customHeight="false" outlineLevel="0" collapsed="false">
      <c r="A36" s="7" t="s">
        <v>126</v>
      </c>
      <c r="B36" s="26" t="n">
        <f aca="false">'Black-76'!$B$34-FloK</f>
        <v>147.51422634806</v>
      </c>
    </row>
    <row r="37" customFormat="false" ht="15" hidden="false" customHeight="false" outlineLevel="0" collapsed="false">
      <c r="A37" s="7" t="s">
        <v>127</v>
      </c>
      <c r="B37" s="25" t="n">
        <f aca="false">'Black-76'!$B$34-'Black-76'!$B$33</f>
        <v>0</v>
      </c>
    </row>
    <row r="38" customFormat="false" ht="15" hidden="false" customHeight="false" outlineLevel="0" collapsed="false">
      <c r="A38" s="9" t="s">
        <v>128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6" min="2" style="0" width="12"/>
    <col collapsed="false" customWidth="true" hidden="false" outlineLevel="0" max="8" min="7" style="0" width="11"/>
    <col collapsed="false" customWidth="true" hidden="false" outlineLevel="0" max="9" min="9" style="0" width="12"/>
    <col collapsed="false" customWidth="true" hidden="false" outlineLevel="0" max="11" min="10" style="0" width="11"/>
    <col collapsed="false" customWidth="true" hidden="false" outlineLevel="0" max="12" min="12" style="0" width="12"/>
    <col collapsed="false" customWidth="true" hidden="false" outlineLevel="0" max="14" min="13" style="0" width="16"/>
    <col collapsed="false" customWidth="true" hidden="false" outlineLevel="0" max="15" min="15" style="0" width="11"/>
    <col collapsed="false" customWidth="true" hidden="false" outlineLevel="0" max="16" min="16" style="0" width="16"/>
    <col collapsed="false" customWidth="true" hidden="false" outlineLevel="0" max="17" min="17" style="0" width="11"/>
    <col collapsed="false" customWidth="true" hidden="false" outlineLevel="0" max="18" min="18" style="0" width="16"/>
  </cols>
  <sheetData>
    <row r="1" customFormat="false" ht="24" hidden="false" customHeight="true" outlineLevel="0" collapsed="false">
      <c r="A1" s="1" t="s">
        <v>129</v>
      </c>
    </row>
    <row r="2" customFormat="false" ht="15" hidden="false" customHeight="false" outlineLevel="0" collapsed="false">
      <c r="A2" s="2" t="s">
        <v>130</v>
      </c>
    </row>
    <row r="3" customFormat="false" ht="15" hidden="false" customHeight="false" outlineLevel="0" collapsed="false">
      <c r="A3" s="3"/>
      <c r="B3" s="3"/>
      <c r="C3" s="3"/>
      <c r="D3" s="3"/>
      <c r="E3" s="3"/>
      <c r="F3" s="3"/>
      <c r="G3" s="3"/>
      <c r="H3" s="3"/>
      <c r="I3" s="3"/>
      <c r="J3" s="3"/>
      <c r="K3" s="3"/>
      <c r="L3" s="3"/>
      <c r="M3" s="3"/>
      <c r="N3" s="3"/>
      <c r="O3" s="3"/>
      <c r="P3" s="3"/>
      <c r="Q3" s="3"/>
      <c r="R3" s="3"/>
    </row>
    <row r="5" customFormat="false" ht="15" hidden="false" customHeight="false" outlineLevel="0" collapsed="false">
      <c r="A5" s="7" t="s">
        <v>131</v>
      </c>
      <c r="B5" s="18" t="n">
        <f aca="false">CapK/'Black-76'!$B$7</f>
        <v>1.05059311469498</v>
      </c>
    </row>
    <row r="6" customFormat="false" ht="15" hidden="false" customHeight="false" outlineLevel="0" collapsed="false">
      <c r="A6" s="7" t="s">
        <v>132</v>
      </c>
      <c r="B6" s="18" t="n">
        <f aca="false">FloK/'Black-76'!$B$7</f>
        <v>0.901628419327777</v>
      </c>
    </row>
    <row r="8" customFormat="false" ht="30" hidden="false" customHeight="true" outlineLevel="0" collapsed="false">
      <c r="A8" s="11" t="s">
        <v>29</v>
      </c>
      <c r="B8" s="12" t="s">
        <v>133</v>
      </c>
      <c r="C8" s="12" t="s">
        <v>134</v>
      </c>
      <c r="D8" s="12" t="s">
        <v>135</v>
      </c>
      <c r="E8" s="12" t="s">
        <v>136</v>
      </c>
      <c r="F8" s="12" t="s">
        <v>137</v>
      </c>
      <c r="G8" s="12" t="s">
        <v>138</v>
      </c>
      <c r="H8" s="12" t="s">
        <v>139</v>
      </c>
      <c r="I8" s="12" t="s">
        <v>140</v>
      </c>
      <c r="J8" s="12" t="s">
        <v>141</v>
      </c>
      <c r="K8" s="12" t="s">
        <v>142</v>
      </c>
      <c r="L8" s="12" t="s">
        <v>143</v>
      </c>
      <c r="M8" s="12" t="s">
        <v>144</v>
      </c>
      <c r="N8" s="12" t="s">
        <v>145</v>
      </c>
      <c r="O8" s="12" t="s">
        <v>146</v>
      </c>
      <c r="P8" s="12" t="s">
        <v>147</v>
      </c>
      <c r="Q8" s="12" t="s">
        <v>148</v>
      </c>
      <c r="R8" s="12" t="s">
        <v>149</v>
      </c>
    </row>
    <row r="9" customFormat="false" ht="15" hidden="false" customHeight="false" outlineLevel="0" collapsed="false">
      <c r="A9" s="7" t="s">
        <v>150</v>
      </c>
      <c r="B9" s="26" t="n">
        <f aca="false">INDEX(ComP,1)</f>
        <v>2450</v>
      </c>
      <c r="C9" s="26" t="n">
        <f aca="false">B9*(1+CRf)</f>
        <v>2550.94</v>
      </c>
      <c r="D9" s="26" t="n">
        <f aca="false">C9*'The rolling collar'!$B$5</f>
        <v>2680</v>
      </c>
      <c r="E9" s="26" t="n">
        <f aca="false">C9*'The rolling collar'!$B$6</f>
        <v>2300</v>
      </c>
      <c r="F9" s="26" t="n">
        <f aca="false">INDEX(ComP,2)</f>
        <v>2720</v>
      </c>
      <c r="G9" s="18" t="n">
        <f aca="false">(LN(C9/D9)+0.5*CVol^2)/CVol</f>
        <v>-0.0856453159494027</v>
      </c>
      <c r="H9" s="18" t="n">
        <f aca="false">G9-CVol</f>
        <v>-0.325645315949403</v>
      </c>
      <c r="I9" s="26" t="n">
        <f aca="false">EXP(-CRf)*(C9*_xlfn.NORM.S.DIST(G9,TRUE())-D9*_xlfn.NORM.S.DIST(H9,TRUE()))</f>
        <v>182.838569544106</v>
      </c>
      <c r="J9" s="18" t="n">
        <f aca="false">(LN(C9/E9)+0.5*CVol^2)/CVol</f>
        <v>0.551469982332519</v>
      </c>
      <c r="K9" s="18" t="n">
        <f aca="false">J9-CVol</f>
        <v>0.311469982332519</v>
      </c>
      <c r="L9" s="26" t="n">
        <f aca="false">EXP(-CRf)*(E9*_xlfn.NORM.S.DIST(-K9,TRUE())-C9*_xlfn.NORM.S.DIST(-J9,TRUE()))</f>
        <v>122.175665943355</v>
      </c>
      <c r="M9" s="24" t="n">
        <f aca="false">(I9-L9)*Tonnes</f>
        <v>1577235.49361953</v>
      </c>
      <c r="N9" s="24" t="n">
        <f aca="false">(MAX(F9-D9,0)-MAX(E9-F9,0))*Tonnes</f>
        <v>1040000</v>
      </c>
      <c r="O9" s="18" t="n">
        <f aca="false">IF(1=1,1,INDEX(DFG,1-1))</f>
        <v>1</v>
      </c>
      <c r="P9" s="24" t="n">
        <f aca="false">M9*O9</f>
        <v>1577235.49361953</v>
      </c>
      <c r="Q9" s="18" t="n">
        <f aca="false">INDEX(DFG,1)</f>
        <v>0.962927298988926</v>
      </c>
      <c r="R9" s="24" t="n">
        <f aca="false">N9*Q9</f>
        <v>1001444.39094848</v>
      </c>
    </row>
    <row r="10" customFormat="false" ht="15" hidden="false" customHeight="false" outlineLevel="0" collapsed="false">
      <c r="A10" s="20" t="s">
        <v>151</v>
      </c>
      <c r="B10" s="27" t="n">
        <f aca="false">INDEX(ComP,2)</f>
        <v>2720</v>
      </c>
      <c r="C10" s="27" t="n">
        <f aca="false">B10*(1+CRf)</f>
        <v>2832.064</v>
      </c>
      <c r="D10" s="27" t="n">
        <f aca="false">C10*'The rolling collar'!$B$5</f>
        <v>2975.34693877551</v>
      </c>
      <c r="E10" s="27" t="n">
        <f aca="false">C10*'The rolling collar'!$B$6</f>
        <v>2553.4693877551</v>
      </c>
      <c r="F10" s="27" t="n">
        <f aca="false">INDEX(ComP,3)</f>
        <v>2910</v>
      </c>
      <c r="G10" s="22" t="n">
        <f aca="false">(LN(C10/D10)+0.5*CVol^2)/CVol</f>
        <v>-0.0856453159494027</v>
      </c>
      <c r="H10" s="22" t="n">
        <f aca="false">G10-CVol</f>
        <v>-0.325645315949403</v>
      </c>
      <c r="I10" s="27" t="n">
        <f aca="false">EXP(-CRf)*(C10*_xlfn.NORM.S.DIST(G10,TRUE())-D10*_xlfn.NORM.S.DIST(H10,TRUE()))</f>
        <v>202.988126187742</v>
      </c>
      <c r="J10" s="22" t="n">
        <f aca="false">(LN(C10/E10)+0.5*CVol^2)/CVol</f>
        <v>0.55146998233252</v>
      </c>
      <c r="K10" s="22" t="n">
        <f aca="false">J10-CVol</f>
        <v>0.31146998233252</v>
      </c>
      <c r="L10" s="27" t="n">
        <f aca="false">EXP(-CRf)*(E10*_xlfn.NORM.S.DIST(-K10,TRUE())-C10*_xlfn.NORM.S.DIST(-J10,TRUE()))</f>
        <v>135.6399230065</v>
      </c>
      <c r="M10" s="28" t="n">
        <f aca="false">(I10-L10)*Tonnes</f>
        <v>1751053.28271229</v>
      </c>
      <c r="N10" s="28" t="n">
        <f aca="false">(MAX(F10-D10,0)-MAX(E10-F10,0))*Tonnes</f>
        <v>0</v>
      </c>
      <c r="O10" s="22" t="n">
        <f aca="false">IF(2=1,1,INDEX(DFG,2-1))</f>
        <v>0.962927298988926</v>
      </c>
      <c r="P10" s="28" t="n">
        <f aca="false">M10*O10</f>
        <v>1686137.00790784</v>
      </c>
      <c r="Q10" s="22" t="n">
        <f aca="false">INDEX(DFG,2)</f>
        <v>0.924865833333565</v>
      </c>
      <c r="R10" s="28" t="n">
        <f aca="false">N10*Q10</f>
        <v>0</v>
      </c>
    </row>
    <row r="11" customFormat="false" ht="15" hidden="false" customHeight="false" outlineLevel="0" collapsed="false">
      <c r="A11" s="7" t="s">
        <v>152</v>
      </c>
      <c r="B11" s="26" t="n">
        <f aca="false">INDEX(ComP,3)</f>
        <v>2910</v>
      </c>
      <c r="C11" s="26" t="n">
        <f aca="false">B11*(1+CRf)</f>
        <v>3029.892</v>
      </c>
      <c r="D11" s="26" t="n">
        <f aca="false">C11*'The rolling collar'!$B$5</f>
        <v>3183.18367346939</v>
      </c>
      <c r="E11" s="26" t="n">
        <f aca="false">C11*'The rolling collar'!$B$6</f>
        <v>2731.83673469388</v>
      </c>
      <c r="F11" s="26" t="n">
        <f aca="false">INDEX(ComP,4)</f>
        <v>2640</v>
      </c>
      <c r="G11" s="18" t="n">
        <f aca="false">(LN(C11/D11)+0.5*CVol^2)/CVol</f>
        <v>-0.0856453159494027</v>
      </c>
      <c r="H11" s="18" t="n">
        <f aca="false">G11-CVol</f>
        <v>-0.325645315949403</v>
      </c>
      <c r="I11" s="26" t="n">
        <f aca="false">EXP(-CRf)*(C11*_xlfn.NORM.S.DIST(G11,TRUE())-D11*_xlfn.NORM.S.DIST(H11,TRUE()))</f>
        <v>217.167443825857</v>
      </c>
      <c r="J11" s="18" t="n">
        <f aca="false">(LN(C11/E11)+0.5*CVol^2)/CVol</f>
        <v>0.551469982332519</v>
      </c>
      <c r="K11" s="18" t="n">
        <f aca="false">J11-CVol</f>
        <v>0.311469982332519</v>
      </c>
      <c r="L11" s="26" t="n">
        <f aca="false">EXP(-CRf)*(E11*_xlfn.NORM.S.DIST(-K11,TRUE())-C11*_xlfn.NORM.S.DIST(-J11,TRUE()))</f>
        <v>145.114770569455</v>
      </c>
      <c r="M11" s="24" t="n">
        <f aca="false">(I11-L11)*Tonnes</f>
        <v>1873369.50466645</v>
      </c>
      <c r="N11" s="24" t="n">
        <f aca="false">(MAX(F11-D11,0)-MAX(E11-F11,0))*Tonnes</f>
        <v>-2387755.10204083</v>
      </c>
      <c r="O11" s="18" t="n">
        <f aca="false">IF(3=1,1,INDEX(DFG,3-1))</f>
        <v>0.924865833333565</v>
      </c>
      <c r="P11" s="24" t="n">
        <f aca="false">M11*O11</f>
        <v>1732615.44807503</v>
      </c>
      <c r="Q11" s="18" t="n">
        <f aca="false">INDEX(DFG,3)</f>
        <v>0.8857308134348</v>
      </c>
      <c r="R11" s="24" t="n">
        <f aca="false">N11*Q11</f>
        <v>-2114908.26881372</v>
      </c>
    </row>
    <row r="12" customFormat="false" ht="15" hidden="false" customHeight="false" outlineLevel="0" collapsed="false">
      <c r="A12" s="20" t="s">
        <v>153</v>
      </c>
      <c r="B12" s="27" t="n">
        <f aca="false">INDEX(ComP,4)</f>
        <v>2640</v>
      </c>
      <c r="C12" s="27" t="n">
        <f aca="false">B12*(1+CRf)</f>
        <v>2748.768</v>
      </c>
      <c r="D12" s="27" t="n">
        <f aca="false">C12*'The rolling collar'!$B$5</f>
        <v>2887.83673469388</v>
      </c>
      <c r="E12" s="27" t="n">
        <f aca="false">C12*'The rolling collar'!$B$6</f>
        <v>2478.36734693878</v>
      </c>
      <c r="F12" s="27" t="n">
        <f aca="false">INDEX(ComP,5)</f>
        <v>2480</v>
      </c>
      <c r="G12" s="22" t="n">
        <f aca="false">(LN(C12/D12)+0.5*CVol^2)/CVol</f>
        <v>-0.0856453159494027</v>
      </c>
      <c r="H12" s="22" t="n">
        <f aca="false">G12-CVol</f>
        <v>-0.325645315949403</v>
      </c>
      <c r="I12" s="27" t="n">
        <f aca="false">EXP(-CRf)*(C12*_xlfn.NORM.S.DIST(G12,TRUE())-D12*_xlfn.NORM.S.DIST(H12,TRUE()))</f>
        <v>197.017887182221</v>
      </c>
      <c r="J12" s="22" t="n">
        <f aca="false">(LN(C12/E12)+0.5*CVol^2)/CVol</f>
        <v>0.55146998233252</v>
      </c>
      <c r="K12" s="22" t="n">
        <f aca="false">J12-CVol</f>
        <v>0.31146998233252</v>
      </c>
      <c r="L12" s="27" t="n">
        <f aca="false">EXP(-CRf)*(E12*_xlfn.NORM.S.DIST(-K12,TRUE())-C12*_xlfn.NORM.S.DIST(-J12,TRUE()))</f>
        <v>131.650513506309</v>
      </c>
      <c r="M12" s="28" t="n">
        <f aca="false">(I12-L12)*Tonnes</f>
        <v>1699551.7155737</v>
      </c>
      <c r="N12" s="28" t="n">
        <f aca="false">(MAX(F12-D12,0)-MAX(E12-F12,0))*Tonnes</f>
        <v>0</v>
      </c>
      <c r="O12" s="22" t="n">
        <f aca="false">IF(4=1,1,INDEX(DFG,4-1))</f>
        <v>0.8857308134348</v>
      </c>
      <c r="P12" s="28" t="n">
        <f aca="false">M12*O12</f>
        <v>1505345.3235096</v>
      </c>
      <c r="Q12" s="22" t="n">
        <f aca="false">INDEX(DFG,4)</f>
        <v>0.846163292379199</v>
      </c>
      <c r="R12" s="28" t="n">
        <f aca="false">N12*Q12</f>
        <v>0</v>
      </c>
    </row>
    <row r="13" customFormat="false" ht="15" hidden="false" customHeight="false" outlineLevel="0" collapsed="false">
      <c r="A13" s="7" t="s">
        <v>154</v>
      </c>
      <c r="B13" s="26" t="n">
        <f aca="false">INDEX(ComP,5)</f>
        <v>2480</v>
      </c>
      <c r="C13" s="26" t="n">
        <f aca="false">B13*(1+CRf)</f>
        <v>2582.176</v>
      </c>
      <c r="D13" s="26" t="n">
        <f aca="false">C13*'The rolling collar'!$B$5</f>
        <v>2712.81632653061</v>
      </c>
      <c r="E13" s="26" t="n">
        <f aca="false">C13*'The rolling collar'!$B$6</f>
        <v>2328.16326530612</v>
      </c>
      <c r="F13" s="26" t="n">
        <f aca="false">INDEX(ComP,6)</f>
        <v>2360</v>
      </c>
      <c r="G13" s="18" t="n">
        <f aca="false">(LN(C13/D13)+0.5*CVol^2)/CVol</f>
        <v>-0.0856453159494022</v>
      </c>
      <c r="H13" s="18" t="n">
        <f aca="false">G13-CVol</f>
        <v>-0.325645315949402</v>
      </c>
      <c r="I13" s="26" t="n">
        <f aca="false">EXP(-CRf)*(C13*_xlfn.NORM.S.DIST(G13,TRUE())-D13*_xlfn.NORM.S.DIST(H13,TRUE()))</f>
        <v>185.077409171177</v>
      </c>
      <c r="J13" s="18" t="n">
        <f aca="false">(LN(C13/E13)+0.5*CVol^2)/CVol</f>
        <v>0.551469982332519</v>
      </c>
      <c r="K13" s="18" t="n">
        <f aca="false">J13-CVol</f>
        <v>0.311469982332519</v>
      </c>
      <c r="L13" s="26" t="n">
        <f aca="false">EXP(-CRf)*(E13*_xlfn.NORM.S.DIST(-K13,TRUE())-C13*_xlfn.NORM.S.DIST(-J13,TRUE()))</f>
        <v>123.671694505927</v>
      </c>
      <c r="M13" s="24" t="n">
        <f aca="false">(I13-L13)*Tonnes</f>
        <v>1596548.58129651</v>
      </c>
      <c r="N13" s="24" t="n">
        <f aca="false">(MAX(F13-D13,0)-MAX(E13-F13,0))*Tonnes</f>
        <v>0</v>
      </c>
      <c r="O13" s="18" t="n">
        <f aca="false">IF(5=1,1,INDEX(DFG,5-1))</f>
        <v>0.846163292379199</v>
      </c>
      <c r="P13" s="24" t="n">
        <f aca="false">M13*O13</f>
        <v>1350940.80399319</v>
      </c>
      <c r="Q13" s="18" t="n">
        <f aca="false">INDEX(DFG,5)</f>
        <v>0.806996585298245</v>
      </c>
      <c r="R13" s="24" t="n">
        <f aca="false">N13*Q13</f>
        <v>0</v>
      </c>
    </row>
    <row r="14" customFormat="false" ht="15" hidden="false" customHeight="false" outlineLevel="0" collapsed="false">
      <c r="A14" s="29" t="s">
        <v>155</v>
      </c>
      <c r="M14" s="30" t="n">
        <f aca="false">SUM(M9:M13)</f>
        <v>8497758.57786848</v>
      </c>
      <c r="N14" s="30" t="n">
        <f aca="false">SUM(N9:N13)</f>
        <v>-1347755.10204083</v>
      </c>
      <c r="P14" s="30" t="n">
        <f aca="false">SUM(P9:P13)</f>
        <v>7852274.07710519</v>
      </c>
      <c r="R14" s="30" t="n">
        <f aca="false">SUM(R9:R13)</f>
        <v>-1113463.87786523</v>
      </c>
    </row>
    <row r="16" customFormat="false" ht="15" hidden="false" customHeight="false" outlineLevel="0" collapsed="false">
      <c r="A16" s="7" t="s">
        <v>156</v>
      </c>
      <c r="B16" s="31" t="n">
        <f aca="false">ABS('The rolling collar'!$P$14/'The rolling collar'!$R$14)</f>
        <v>7.05211388820247</v>
      </c>
    </row>
    <row r="17" customFormat="false" ht="15" hidden="false" customHeight="false" outlineLevel="0" collapsed="false">
      <c r="A17" s="7" t="s">
        <v>157</v>
      </c>
      <c r="B17" s="31" t="n">
        <f aca="false">ABS('The rolling collar'!$M$14/'The rolling collar'!$N$14)</f>
        <v>6.30512068921186</v>
      </c>
    </row>
    <row r="18" customFormat="false" ht="15" hidden="false" customHeight="false" outlineLevel="0" collapsed="false">
      <c r="A18" s="7" t="s">
        <v>158</v>
      </c>
      <c r="B18" s="32" t="n">
        <f aca="false">'The rolling collar'!$M$9-'Black-76'!$B$15</f>
        <v>0</v>
      </c>
    </row>
    <row r="19" customFormat="false" ht="15" hidden="false" customHeight="false" outlineLevel="0" collapsed="false">
      <c r="A19" s="9" t="s">
        <v>159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2" min="2" style="0" width="3"/>
    <col collapsed="false" customWidth="true" hidden="false" outlineLevel="0" max="7" min="3" style="0" width="14"/>
    <col collapsed="false" customWidth="true" hidden="false" outlineLevel="0" max="8" min="8" style="0" width="18"/>
  </cols>
  <sheetData>
    <row r="1" customFormat="false" ht="24" hidden="false" customHeight="true" outlineLevel="0" collapsed="false">
      <c r="A1" s="1" t="s">
        <v>160</v>
      </c>
    </row>
    <row r="2" customFormat="false" ht="15" hidden="false" customHeight="false" outlineLevel="0" collapsed="false">
      <c r="A2" s="2" t="s">
        <v>161</v>
      </c>
    </row>
    <row r="3" customFormat="false" ht="15" hidden="false" customHeight="false" outlineLevel="0" collapsed="false">
      <c r="A3" s="3"/>
      <c r="B3" s="3"/>
      <c r="C3" s="3"/>
      <c r="D3" s="3"/>
      <c r="E3" s="3"/>
      <c r="F3" s="3"/>
      <c r="G3" s="3"/>
      <c r="H3" s="3"/>
    </row>
    <row r="5" customFormat="false" ht="15" hidden="false" customHeight="false" outlineLevel="0" collapsed="false">
      <c r="A5" s="9" t="s">
        <v>162</v>
      </c>
    </row>
    <row r="7" customFormat="false" ht="30" hidden="false" customHeight="true" outlineLevel="0" collapsed="false">
      <c r="A7" s="11"/>
      <c r="B7" s="12"/>
      <c r="C7" s="12" t="s">
        <v>150</v>
      </c>
      <c r="D7" s="12" t="s">
        <v>151</v>
      </c>
      <c r="E7" s="12" t="s">
        <v>152</v>
      </c>
      <c r="F7" s="12" t="s">
        <v>153</v>
      </c>
      <c r="G7" s="12" t="s">
        <v>154</v>
      </c>
      <c r="H7" s="12" t="s">
        <v>155</v>
      </c>
    </row>
    <row r="8" customFormat="false" ht="15" hidden="false" customHeight="false" outlineLevel="0" collapsed="false">
      <c r="A8" s="7" t="s">
        <v>163</v>
      </c>
      <c r="C8" s="26" t="n">
        <f aca="false">INDEX(ComP,1)*(1+CRf)</f>
        <v>2550.94</v>
      </c>
      <c r="D8" s="26" t="n">
        <f aca="false">INDEX(ComP,2)*(1+CRf)</f>
        <v>2832.064</v>
      </c>
      <c r="E8" s="26" t="n">
        <f aca="false">INDEX(ComP,3)*(1+CRf)</f>
        <v>3029.892</v>
      </c>
      <c r="F8" s="26" t="n">
        <f aca="false">INDEX(ComP,4)*(1+CRf)</f>
        <v>2748.768</v>
      </c>
      <c r="G8" s="26" t="n">
        <f aca="false">INDEX(ComP,5)*(1+CRf)</f>
        <v>2582.176</v>
      </c>
    </row>
    <row r="9" customFormat="false" ht="15" hidden="false" customHeight="false" outlineLevel="0" collapsed="false">
      <c r="A9" s="7" t="s">
        <v>164</v>
      </c>
      <c r="C9" s="26" t="n">
        <f aca="false">C8*'The rolling collar'!$B$5</f>
        <v>2680</v>
      </c>
      <c r="D9" s="26" t="n">
        <f aca="false">D8*'The rolling collar'!$B$5</f>
        <v>2975.34693877551</v>
      </c>
      <c r="E9" s="26" t="n">
        <f aca="false">E8*'The rolling collar'!$B$5</f>
        <v>3183.18367346939</v>
      </c>
      <c r="F9" s="26" t="n">
        <f aca="false">F8*'The rolling collar'!$B$5</f>
        <v>2887.83673469388</v>
      </c>
      <c r="G9" s="26" t="n">
        <f aca="false">G8*'The rolling collar'!$B$5</f>
        <v>2712.81632653061</v>
      </c>
    </row>
    <row r="10" customFormat="false" ht="15" hidden="false" customHeight="false" outlineLevel="0" collapsed="false">
      <c r="A10" s="7" t="s">
        <v>165</v>
      </c>
      <c r="C10" s="26" t="n">
        <f aca="false">EXP(-CRf)*(C8*_xlfn.NORM.S.DIST((LN(C8/C9)+0.5*CVol^2)/CVol,TRUE())-C9*_xlfn.NORM.S.DIST((LN(C8/C9)+0.5*CVol^2)/CVol-CVol,TRUE()))</f>
        <v>182.838569544106</v>
      </c>
      <c r="D10" s="26" t="n">
        <f aca="false">EXP(-CRf)*(D8*_xlfn.NORM.S.DIST((LN(D8/D9)+0.5*CVol^2)/CVol,TRUE())-D9*_xlfn.NORM.S.DIST((LN(D8/D9)+0.5*CVol^2)/CVol-CVol,TRUE()))</f>
        <v>202.988126187742</v>
      </c>
      <c r="E10" s="26" t="n">
        <f aca="false">EXP(-CRf)*(E8*_xlfn.NORM.S.DIST((LN(E8/E9)+0.5*CVol^2)/CVol,TRUE())-E9*_xlfn.NORM.S.DIST((LN(E8/E9)+0.5*CVol^2)/CVol-CVol,TRUE()))</f>
        <v>217.167443825857</v>
      </c>
      <c r="F10" s="26" t="n">
        <f aca="false">EXP(-CRf)*(F8*_xlfn.NORM.S.DIST((LN(F8/F9)+0.5*CVol^2)/CVol,TRUE())-F9*_xlfn.NORM.S.DIST((LN(F8/F9)+0.5*CVol^2)/CVol-CVol,TRUE()))</f>
        <v>197.017887182221</v>
      </c>
      <c r="G10" s="26" t="n">
        <f aca="false">EXP(-CRf)*(G8*_xlfn.NORM.S.DIST((LN(G8/G9)+0.5*CVol^2)/CVol,TRUE())-G9*_xlfn.NORM.S.DIST((LN(G8/G9)+0.5*CVol^2)/CVol-CVol,TRUE()))</f>
        <v>185.077409171177</v>
      </c>
    </row>
    <row r="12" customFormat="false" ht="15" hidden="false" customHeight="false" outlineLevel="0" collapsed="false">
      <c r="A12" s="29" t="s">
        <v>166</v>
      </c>
    </row>
    <row r="13" customFormat="false" ht="15" hidden="false" customHeight="false" outlineLevel="0" collapsed="false">
      <c r="A13" s="7" t="s">
        <v>167</v>
      </c>
      <c r="C13" s="26" t="n">
        <f aca="false">C8*0.95</f>
        <v>2423.393</v>
      </c>
      <c r="D13" s="26" t="n">
        <f aca="false">D8*0.95</f>
        <v>2690.4608</v>
      </c>
      <c r="E13" s="26" t="n">
        <f aca="false">E8*0.95</f>
        <v>2878.3974</v>
      </c>
      <c r="F13" s="26" t="n">
        <f aca="false">F8*0.95</f>
        <v>2611.3296</v>
      </c>
      <c r="G13" s="26" t="n">
        <f aca="false">G8*0.95</f>
        <v>2453.0672</v>
      </c>
    </row>
    <row r="14" customFormat="false" ht="15" hidden="false" customHeight="false" outlineLevel="0" collapsed="false">
      <c r="A14" s="7" t="s">
        <v>168</v>
      </c>
      <c r="C14" s="26" t="n">
        <f aca="false">C13+(C$10-EXP(-CRf)*(C13*_xlfn.NORM.S.DIST(-((LN(C$8/C13)-0.5*CVol^2)/CVol),TRUE())-C$8*_xlfn.NORM.S.DIST(-((LN(C$8/C13)-0.5*CVol^2)/CVol+CVol),TRUE())))/(EXP(-CRf)*_xlfn.NORM.S.DIST(-((LN(C$8/C13)-0.5*CVol^2)/CVol),TRUE()))</f>
        <v>2447.94270812852</v>
      </c>
      <c r="D14" s="26" t="n">
        <f aca="false">D13+(D$10-EXP(-CRf)*(D13*_xlfn.NORM.S.DIST(-((LN(D$8/D13)-0.5*CVol^2)/CVol),TRUE())-D$8*_xlfn.NORM.S.DIST(-((LN(D$8/D13)-0.5*CVol^2)/CVol+CVol),TRUE())))/(EXP(-CRf)*_xlfn.NORM.S.DIST(-((LN(D$8/D13)-0.5*CVol^2)/CVol),TRUE()))</f>
        <v>2717.71598616718</v>
      </c>
      <c r="E14" s="26" t="n">
        <f aca="false">E13+(E$10-EXP(-CRf)*(E13*_xlfn.NORM.S.DIST(-((LN(E$8/E13)-0.5*CVol^2)/CVol),TRUE())-E$8*_xlfn.NORM.S.DIST(-((LN(E$8/E13)-0.5*CVol^2)/CVol+CVol),TRUE())))/(EXP(-CRf)*_xlfn.NORM.S.DIST(-((LN(E$8/E13)-0.5*CVol^2)/CVol),TRUE()))</f>
        <v>2907.55644108327</v>
      </c>
      <c r="F14" s="26" t="n">
        <f aca="false">F13+(F$10-EXP(-CRf)*(F13*_xlfn.NORM.S.DIST(-((LN(F$8/F13)-0.5*CVol^2)/CVol),TRUE())-F$8*_xlfn.NORM.S.DIST(-((LN(F$8/F13)-0.5*CVol^2)/CVol+CVol),TRUE())))/(EXP(-CRf)*_xlfn.NORM.S.DIST(-((LN(F$8/F13)-0.5*CVol^2)/CVol),TRUE()))</f>
        <v>2637.78316304461</v>
      </c>
      <c r="G14" s="26" t="n">
        <f aca="false">G13+(G$10-EXP(-CRf)*(G13*_xlfn.NORM.S.DIST(-((LN(G$8/G13)-0.5*CVol^2)/CVol),TRUE())-G$8*_xlfn.NORM.S.DIST(-((LN(G$8/G13)-0.5*CVol^2)/CVol+CVol),TRUE())))/(EXP(-CRf)*_xlfn.NORM.S.DIST(-((LN(G$8/G13)-0.5*CVol^2)/CVol),TRUE()))</f>
        <v>2477.91751679949</v>
      </c>
    </row>
    <row r="15" customFormat="false" ht="15" hidden="false" customHeight="false" outlineLevel="0" collapsed="false">
      <c r="A15" s="7" t="s">
        <v>169</v>
      </c>
      <c r="C15" s="26" t="n">
        <f aca="false">C14+(C$10-EXP(-CRf)*(C14*_xlfn.NORM.S.DIST(-((LN(C$8/C14)-0.5*CVol^2)/CVol),TRUE())-C$8*_xlfn.NORM.S.DIST(-((LN(C$8/C14)-0.5*CVol^2)/CVol+CVol),TRUE())))/(EXP(-CRf)*_xlfn.NORM.S.DIST(-((LN(C$8/C14)-0.5*CVol^2)/CVol),TRUE()))</f>
        <v>2447.51435621444</v>
      </c>
      <c r="D15" s="26" t="n">
        <f aca="false">D14+(D$10-EXP(-CRf)*(D14*_xlfn.NORM.S.DIST(-((LN(D$8/D14)-0.5*CVol^2)/CVol),TRUE())-D$8*_xlfn.NORM.S.DIST(-((LN(D$8/D14)-0.5*CVol^2)/CVol+CVol),TRUE())))/(EXP(-CRf)*_xlfn.NORM.S.DIST(-((LN(D$8/D14)-0.5*CVol^2)/CVol),TRUE()))</f>
        <v>2717.24042812379</v>
      </c>
      <c r="E15" s="26" t="n">
        <f aca="false">E14+(E$10-EXP(-CRf)*(E14*_xlfn.NORM.S.DIST(-((LN(E$8/E14)-0.5*CVol^2)/CVol),TRUE())-E$8*_xlfn.NORM.S.DIST(-((LN(E$8/E14)-0.5*CVol^2)/CVol+CVol),TRUE())))/(EXP(-CRf)*_xlfn.NORM.S.DIST(-((LN(E$8/E14)-0.5*CVol^2)/CVol),TRUE()))</f>
        <v>2907.04766391184</v>
      </c>
      <c r="F15" s="26" t="n">
        <f aca="false">F14+(F$10-EXP(-CRf)*(F14*_xlfn.NORM.S.DIST(-((LN(F$8/F14)-0.5*CVol^2)/CVol),TRUE())-F$8*_xlfn.NORM.S.DIST(-((LN(F$8/F14)-0.5*CVol^2)/CVol+CVol),TRUE())))/(EXP(-CRf)*_xlfn.NORM.S.DIST(-((LN(F$8/F14)-0.5*CVol^2)/CVol),TRUE()))</f>
        <v>2637.3215920025</v>
      </c>
      <c r="G15" s="26" t="n">
        <f aca="false">G14+(G$10-EXP(-CRf)*(G14*_xlfn.NORM.S.DIST(-((LN(G$8/G14)-0.5*CVol^2)/CVol),TRUE())-G$8*_xlfn.NORM.S.DIST(-((LN(G$8/G14)-0.5*CVol^2)/CVol+CVol),TRUE())))/(EXP(-CRf)*_xlfn.NORM.S.DIST(-((LN(G$8/G14)-0.5*CVol^2)/CVol),TRUE()))</f>
        <v>2477.48391975992</v>
      </c>
    </row>
    <row r="16" customFormat="false" ht="15" hidden="false" customHeight="false" outlineLevel="0" collapsed="false">
      <c r="A16" s="7" t="s">
        <v>170</v>
      </c>
      <c r="C16" s="26" t="n">
        <f aca="false">C15+(C$10-EXP(-CRf)*(C15*_xlfn.NORM.S.DIST(-((LN(C$8/C15)-0.5*CVol^2)/CVol),TRUE())-C$8*_xlfn.NORM.S.DIST(-((LN(C$8/C15)-0.5*CVol^2)/CVol+CVol),TRUE())))/(EXP(-CRf)*_xlfn.NORM.S.DIST(-((LN(C$8/C15)-0.5*CVol^2)/CVol),TRUE()))</f>
        <v>2447.51422634807</v>
      </c>
      <c r="D16" s="26" t="n">
        <f aca="false">D15+(D$10-EXP(-CRf)*(D15*_xlfn.NORM.S.DIST(-((LN(D$8/D15)-0.5*CVol^2)/CVol),TRUE())-D$8*_xlfn.NORM.S.DIST(-((LN(D$8/D15)-0.5*CVol^2)/CVol+CVol),TRUE())))/(EXP(-CRf)*_xlfn.NORM.S.DIST(-((LN(D$8/D15)-0.5*CVol^2)/CVol),TRUE()))</f>
        <v>2717.24028394561</v>
      </c>
      <c r="E16" s="26" t="n">
        <f aca="false">E15+(E$10-EXP(-CRf)*(E15*_xlfn.NORM.S.DIST(-((LN(E$8/E15)-0.5*CVol^2)/CVol),TRUE())-E$8*_xlfn.NORM.S.DIST(-((LN(E$8/E15)-0.5*CVol^2)/CVol+CVol),TRUE())))/(EXP(-CRf)*_xlfn.NORM.S.DIST(-((LN(E$8/E15)-0.5*CVol^2)/CVol),TRUE()))</f>
        <v>2907.0475096624</v>
      </c>
      <c r="F16" s="26" t="n">
        <f aca="false">F15+(F$10-EXP(-CRf)*(F15*_xlfn.NORM.S.DIST(-((LN(F$8/F15)-0.5*CVol^2)/CVol),TRUE())-F$8*_xlfn.NORM.S.DIST(-((LN(F$8/F15)-0.5*CVol^2)/CVol+CVol),TRUE())))/(EXP(-CRf)*_xlfn.NORM.S.DIST(-((LN(F$8/F15)-0.5*CVol^2)/CVol),TRUE()))</f>
        <v>2637.32145206486</v>
      </c>
      <c r="G16" s="26" t="n">
        <f aca="false">G15+(G$10-EXP(-CRf)*(G15*_xlfn.NORM.S.DIST(-((LN(G$8/G15)-0.5*CVol^2)/CVol),TRUE())-G$8*_xlfn.NORM.S.DIST(-((LN(G$8/G15)-0.5*CVol^2)/CVol+CVol),TRUE())))/(EXP(-CRf)*_xlfn.NORM.S.DIST(-((LN(G$8/G15)-0.5*CVol^2)/CVol),TRUE()))</f>
        <v>2477.48378830336</v>
      </c>
    </row>
    <row r="17" customFormat="false" ht="15" hidden="false" customHeight="false" outlineLevel="0" collapsed="false">
      <c r="A17" s="7" t="s">
        <v>171</v>
      </c>
      <c r="C17" s="26" t="n">
        <f aca="false">C16+(C$10-EXP(-CRf)*(C16*_xlfn.NORM.S.DIST(-((LN(C$8/C16)-0.5*CVol^2)/CVol),TRUE())-C$8*_xlfn.NORM.S.DIST(-((LN(C$8/C16)-0.5*CVol^2)/CVol+CVol),TRUE())))/(EXP(-CRf)*_xlfn.NORM.S.DIST(-((LN(C$8/C16)-0.5*CVol^2)/CVol),TRUE()))</f>
        <v>2447.51422634806</v>
      </c>
      <c r="D17" s="26" t="n">
        <f aca="false">D16+(D$10-EXP(-CRf)*(D16*_xlfn.NORM.S.DIST(-((LN(D$8/D16)-0.5*CVol^2)/CVol),TRUE())-D$8*_xlfn.NORM.S.DIST(-((LN(D$8/D16)-0.5*CVol^2)/CVol+CVol),TRUE())))/(EXP(-CRf)*_xlfn.NORM.S.DIST(-((LN(D$8/D16)-0.5*CVol^2)/CVol),TRUE()))</f>
        <v>2717.2402839456</v>
      </c>
      <c r="E17" s="26" t="n">
        <f aca="false">E16+(E$10-EXP(-CRf)*(E16*_xlfn.NORM.S.DIST(-((LN(E$8/E16)-0.5*CVol^2)/CVol),TRUE())-E$8*_xlfn.NORM.S.DIST(-((LN(E$8/E16)-0.5*CVol^2)/CVol+CVol),TRUE())))/(EXP(-CRf)*_xlfn.NORM.S.DIST(-((LN(E$8/E16)-0.5*CVol^2)/CVol),TRUE()))</f>
        <v>2907.04750966239</v>
      </c>
      <c r="F17" s="26" t="n">
        <f aca="false">F16+(F$10-EXP(-CRf)*(F16*_xlfn.NORM.S.DIST(-((LN(F$8/F16)-0.5*CVol^2)/CVol),TRUE())-F$8*_xlfn.NORM.S.DIST(-((LN(F$8/F16)-0.5*CVol^2)/CVol+CVol),TRUE())))/(EXP(-CRf)*_xlfn.NORM.S.DIST(-((LN(F$8/F16)-0.5*CVol^2)/CVol),TRUE()))</f>
        <v>2637.32145206485</v>
      </c>
      <c r="G17" s="26" t="n">
        <f aca="false">G16+(G$10-EXP(-CRf)*(G16*_xlfn.NORM.S.DIST(-((LN(G$8/G16)-0.5*CVol^2)/CVol),TRUE())-G$8*_xlfn.NORM.S.DIST(-((LN(G$8/G16)-0.5*CVol^2)/CVol+CVol),TRUE())))/(EXP(-CRf)*_xlfn.NORM.S.DIST(-((LN(G$8/G16)-0.5*CVol^2)/CVol),TRUE()))</f>
        <v>2477.48378830334</v>
      </c>
    </row>
    <row r="18" customFormat="false" ht="15" hidden="false" customHeight="false" outlineLevel="0" collapsed="false">
      <c r="A18" s="7" t="s">
        <v>172</v>
      </c>
      <c r="C18" s="26" t="n">
        <f aca="false">C17+(C$10-EXP(-CRf)*(C17*_xlfn.NORM.S.DIST(-((LN(C$8/C17)-0.5*CVol^2)/CVol),TRUE())-C$8*_xlfn.NORM.S.DIST(-((LN(C$8/C17)-0.5*CVol^2)/CVol+CVol),TRUE())))/(EXP(-CRf)*_xlfn.NORM.S.DIST(-((LN(C$8/C17)-0.5*CVol^2)/CVol),TRUE()))</f>
        <v>2447.51422634806</v>
      </c>
      <c r="D18" s="26" t="n">
        <f aca="false">D17+(D$10-EXP(-CRf)*(D17*_xlfn.NORM.S.DIST(-((LN(D$8/D17)-0.5*CVol^2)/CVol),TRUE())-D$8*_xlfn.NORM.S.DIST(-((LN(D$8/D17)-0.5*CVol^2)/CVol+CVol),TRUE())))/(EXP(-CRf)*_xlfn.NORM.S.DIST(-((LN(D$8/D17)-0.5*CVol^2)/CVol),TRUE()))</f>
        <v>2717.2402839456</v>
      </c>
      <c r="E18" s="26" t="n">
        <f aca="false">E17+(E$10-EXP(-CRf)*(E17*_xlfn.NORM.S.DIST(-((LN(E$8/E17)-0.5*CVol^2)/CVol),TRUE())-E$8*_xlfn.NORM.S.DIST(-((LN(E$8/E17)-0.5*CVol^2)/CVol+CVol),TRUE())))/(EXP(-CRf)*_xlfn.NORM.S.DIST(-((LN(E$8/E17)-0.5*CVol^2)/CVol),TRUE()))</f>
        <v>2907.04750966239</v>
      </c>
      <c r="F18" s="26" t="n">
        <f aca="false">F17+(F$10-EXP(-CRf)*(F17*_xlfn.NORM.S.DIST(-((LN(F$8/F17)-0.5*CVol^2)/CVol),TRUE())-F$8*_xlfn.NORM.S.DIST(-((LN(F$8/F17)-0.5*CVol^2)/CVol+CVol),TRUE())))/(EXP(-CRf)*_xlfn.NORM.S.DIST(-((LN(F$8/F17)-0.5*CVol^2)/CVol),TRUE()))</f>
        <v>2637.32145206485</v>
      </c>
      <c r="G18" s="26" t="n">
        <f aca="false">G17+(G$10-EXP(-CRf)*(G17*_xlfn.NORM.S.DIST(-((LN(G$8/G17)-0.5*CVol^2)/CVol),TRUE())-G$8*_xlfn.NORM.S.DIST(-((LN(G$8/G17)-0.5*CVol^2)/CVol+CVol),TRUE())))/(EXP(-CRf)*_xlfn.NORM.S.DIST(-((LN(G$8/G17)-0.5*CVol^2)/CVol),TRUE()))</f>
        <v>2477.48378830334</v>
      </c>
    </row>
    <row r="19" customFormat="false" ht="15" hidden="false" customHeight="false" outlineLevel="0" collapsed="false">
      <c r="A19" s="7" t="s">
        <v>173</v>
      </c>
      <c r="C19" s="26" t="n">
        <f aca="false">C18+(C$10-EXP(-CRf)*(C18*_xlfn.NORM.S.DIST(-((LN(C$8/C18)-0.5*CVol^2)/CVol),TRUE())-C$8*_xlfn.NORM.S.DIST(-((LN(C$8/C18)-0.5*CVol^2)/CVol+CVol),TRUE())))/(EXP(-CRf)*_xlfn.NORM.S.DIST(-((LN(C$8/C18)-0.5*CVol^2)/CVol),TRUE()))</f>
        <v>2447.51422634806</v>
      </c>
      <c r="D19" s="26" t="n">
        <f aca="false">D18+(D$10-EXP(-CRf)*(D18*_xlfn.NORM.S.DIST(-((LN(D$8/D18)-0.5*CVol^2)/CVol),TRUE())-D$8*_xlfn.NORM.S.DIST(-((LN(D$8/D18)-0.5*CVol^2)/CVol+CVol),TRUE())))/(EXP(-CRf)*_xlfn.NORM.S.DIST(-((LN(D$8/D18)-0.5*CVol^2)/CVol),TRUE()))</f>
        <v>2717.2402839456</v>
      </c>
      <c r="E19" s="26" t="n">
        <f aca="false">E18+(E$10-EXP(-CRf)*(E18*_xlfn.NORM.S.DIST(-((LN(E$8/E18)-0.5*CVol^2)/CVol),TRUE())-E$8*_xlfn.NORM.S.DIST(-((LN(E$8/E18)-0.5*CVol^2)/CVol+CVol),TRUE())))/(EXP(-CRf)*_xlfn.NORM.S.DIST(-((LN(E$8/E18)-0.5*CVol^2)/CVol),TRUE()))</f>
        <v>2907.04750966239</v>
      </c>
      <c r="F19" s="26" t="n">
        <f aca="false">F18+(F$10-EXP(-CRf)*(F18*_xlfn.NORM.S.DIST(-((LN(F$8/F18)-0.5*CVol^2)/CVol),TRUE())-F$8*_xlfn.NORM.S.DIST(-((LN(F$8/F18)-0.5*CVol^2)/CVol+CVol),TRUE())))/(EXP(-CRf)*_xlfn.NORM.S.DIST(-((LN(F$8/F18)-0.5*CVol^2)/CVol),TRUE()))</f>
        <v>2637.32145206485</v>
      </c>
      <c r="G19" s="26" t="n">
        <f aca="false">G18+(G$10-EXP(-CRf)*(G18*_xlfn.NORM.S.DIST(-((LN(G$8/G18)-0.5*CVol^2)/CVol),TRUE())-G$8*_xlfn.NORM.S.DIST(-((LN(G$8/G18)-0.5*CVol^2)/CVol+CVol),TRUE())))/(EXP(-CRf)*_xlfn.NORM.S.DIST(-((LN(G$8/G18)-0.5*CVol^2)/CVol),TRUE()))</f>
        <v>2477.48378830334</v>
      </c>
    </row>
    <row r="20" customFormat="false" ht="15" hidden="false" customHeight="false" outlineLevel="0" collapsed="false">
      <c r="A20" s="7" t="s">
        <v>174</v>
      </c>
      <c r="C20" s="26" t="n">
        <f aca="false">C19+(C$10-EXP(-CRf)*(C19*_xlfn.NORM.S.DIST(-((LN(C$8/C19)-0.5*CVol^2)/CVol),TRUE())-C$8*_xlfn.NORM.S.DIST(-((LN(C$8/C19)-0.5*CVol^2)/CVol+CVol),TRUE())))/(EXP(-CRf)*_xlfn.NORM.S.DIST(-((LN(C$8/C19)-0.5*CVol^2)/CVol),TRUE()))</f>
        <v>2447.51422634806</v>
      </c>
      <c r="D20" s="26" t="n">
        <f aca="false">D19+(D$10-EXP(-CRf)*(D19*_xlfn.NORM.S.DIST(-((LN(D$8/D19)-0.5*CVol^2)/CVol),TRUE())-D$8*_xlfn.NORM.S.DIST(-((LN(D$8/D19)-0.5*CVol^2)/CVol+CVol),TRUE())))/(EXP(-CRf)*_xlfn.NORM.S.DIST(-((LN(D$8/D19)-0.5*CVol^2)/CVol),TRUE()))</f>
        <v>2717.2402839456</v>
      </c>
      <c r="E20" s="26" t="n">
        <f aca="false">E19+(E$10-EXP(-CRf)*(E19*_xlfn.NORM.S.DIST(-((LN(E$8/E19)-0.5*CVol^2)/CVol),TRUE())-E$8*_xlfn.NORM.S.DIST(-((LN(E$8/E19)-0.5*CVol^2)/CVol+CVol),TRUE())))/(EXP(-CRf)*_xlfn.NORM.S.DIST(-((LN(E$8/E19)-0.5*CVol^2)/CVol),TRUE()))</f>
        <v>2907.04750966239</v>
      </c>
      <c r="F20" s="26" t="n">
        <f aca="false">F19+(F$10-EXP(-CRf)*(F19*_xlfn.NORM.S.DIST(-((LN(F$8/F19)-0.5*CVol^2)/CVol),TRUE())-F$8*_xlfn.NORM.S.DIST(-((LN(F$8/F19)-0.5*CVol^2)/CVol+CVol),TRUE())))/(EXP(-CRf)*_xlfn.NORM.S.DIST(-((LN(F$8/F19)-0.5*CVol^2)/CVol),TRUE()))</f>
        <v>2637.32145206485</v>
      </c>
      <c r="G20" s="26" t="n">
        <f aca="false">G19+(G$10-EXP(-CRf)*(G19*_xlfn.NORM.S.DIST(-((LN(G$8/G19)-0.5*CVol^2)/CVol),TRUE())-G$8*_xlfn.NORM.S.DIST(-((LN(G$8/G19)-0.5*CVol^2)/CVol+CVol),TRUE())))/(EXP(-CRf)*_xlfn.NORM.S.DIST(-((LN(G$8/G19)-0.5*CVol^2)/CVol),TRUE()))</f>
        <v>2477.48378830334</v>
      </c>
    </row>
    <row r="21" customFormat="false" ht="15" hidden="false" customHeight="false" outlineLevel="0" collapsed="false">
      <c r="A21" s="7" t="s">
        <v>175</v>
      </c>
      <c r="C21" s="26" t="n">
        <f aca="false">C20+(C$10-EXP(-CRf)*(C20*_xlfn.NORM.S.DIST(-((LN(C$8/C20)-0.5*CVol^2)/CVol),TRUE())-C$8*_xlfn.NORM.S.DIST(-((LN(C$8/C20)-0.5*CVol^2)/CVol+CVol),TRUE())))/(EXP(-CRf)*_xlfn.NORM.S.DIST(-((LN(C$8/C20)-0.5*CVol^2)/CVol),TRUE()))</f>
        <v>2447.51422634806</v>
      </c>
      <c r="D21" s="26" t="n">
        <f aca="false">D20+(D$10-EXP(-CRf)*(D20*_xlfn.NORM.S.DIST(-((LN(D$8/D20)-0.5*CVol^2)/CVol),TRUE())-D$8*_xlfn.NORM.S.DIST(-((LN(D$8/D20)-0.5*CVol^2)/CVol+CVol),TRUE())))/(EXP(-CRf)*_xlfn.NORM.S.DIST(-((LN(D$8/D20)-0.5*CVol^2)/CVol),TRUE()))</f>
        <v>2717.2402839456</v>
      </c>
      <c r="E21" s="26" t="n">
        <f aca="false">E20+(E$10-EXP(-CRf)*(E20*_xlfn.NORM.S.DIST(-((LN(E$8/E20)-0.5*CVol^2)/CVol),TRUE())-E$8*_xlfn.NORM.S.DIST(-((LN(E$8/E20)-0.5*CVol^2)/CVol+CVol),TRUE())))/(EXP(-CRf)*_xlfn.NORM.S.DIST(-((LN(E$8/E20)-0.5*CVol^2)/CVol),TRUE()))</f>
        <v>2907.04750966239</v>
      </c>
      <c r="F21" s="26" t="n">
        <f aca="false">F20+(F$10-EXP(-CRf)*(F20*_xlfn.NORM.S.DIST(-((LN(F$8/F20)-0.5*CVol^2)/CVol),TRUE())-F$8*_xlfn.NORM.S.DIST(-((LN(F$8/F20)-0.5*CVol^2)/CVol+CVol),TRUE())))/(EXP(-CRf)*_xlfn.NORM.S.DIST(-((LN(F$8/F20)-0.5*CVol^2)/CVol),TRUE()))</f>
        <v>2637.32145206485</v>
      </c>
      <c r="G21" s="26" t="n">
        <f aca="false">G20+(G$10-EXP(-CRf)*(G20*_xlfn.NORM.S.DIST(-((LN(G$8/G20)-0.5*CVol^2)/CVol),TRUE())-G$8*_xlfn.NORM.S.DIST(-((LN(G$8/G20)-0.5*CVol^2)/CVol+CVol),TRUE())))/(EXP(-CRf)*_xlfn.NORM.S.DIST(-((LN(G$8/G20)-0.5*CVol^2)/CVol),TRUE()))</f>
        <v>2477.48378830334</v>
      </c>
    </row>
    <row r="22" customFormat="false" ht="15" hidden="false" customHeight="false" outlineLevel="0" collapsed="false">
      <c r="A22" s="7" t="s">
        <v>176</v>
      </c>
      <c r="C22" s="26" t="n">
        <f aca="false">C21+(C$10-EXP(-CRf)*(C21*_xlfn.NORM.S.DIST(-((LN(C$8/C21)-0.5*CVol^2)/CVol),TRUE())-C$8*_xlfn.NORM.S.DIST(-((LN(C$8/C21)-0.5*CVol^2)/CVol+CVol),TRUE())))/(EXP(-CRf)*_xlfn.NORM.S.DIST(-((LN(C$8/C21)-0.5*CVol^2)/CVol),TRUE()))</f>
        <v>2447.51422634806</v>
      </c>
      <c r="D22" s="26" t="n">
        <f aca="false">D21+(D$10-EXP(-CRf)*(D21*_xlfn.NORM.S.DIST(-((LN(D$8/D21)-0.5*CVol^2)/CVol),TRUE())-D$8*_xlfn.NORM.S.DIST(-((LN(D$8/D21)-0.5*CVol^2)/CVol+CVol),TRUE())))/(EXP(-CRf)*_xlfn.NORM.S.DIST(-((LN(D$8/D21)-0.5*CVol^2)/CVol),TRUE()))</f>
        <v>2717.2402839456</v>
      </c>
      <c r="E22" s="26" t="n">
        <f aca="false">E21+(E$10-EXP(-CRf)*(E21*_xlfn.NORM.S.DIST(-((LN(E$8/E21)-0.5*CVol^2)/CVol),TRUE())-E$8*_xlfn.NORM.S.DIST(-((LN(E$8/E21)-0.5*CVol^2)/CVol+CVol),TRUE())))/(EXP(-CRf)*_xlfn.NORM.S.DIST(-((LN(E$8/E21)-0.5*CVol^2)/CVol),TRUE()))</f>
        <v>2907.04750966239</v>
      </c>
      <c r="F22" s="26" t="n">
        <f aca="false">F21+(F$10-EXP(-CRf)*(F21*_xlfn.NORM.S.DIST(-((LN(F$8/F21)-0.5*CVol^2)/CVol),TRUE())-F$8*_xlfn.NORM.S.DIST(-((LN(F$8/F21)-0.5*CVol^2)/CVol+CVol),TRUE())))/(EXP(-CRf)*_xlfn.NORM.S.DIST(-((LN(F$8/F21)-0.5*CVol^2)/CVol),TRUE()))</f>
        <v>2637.32145206485</v>
      </c>
      <c r="G22" s="26" t="n">
        <f aca="false">G21+(G$10-EXP(-CRf)*(G21*_xlfn.NORM.S.DIST(-((LN(G$8/G21)-0.5*CVol^2)/CVol),TRUE())-G$8*_xlfn.NORM.S.DIST(-((LN(G$8/G21)-0.5*CVol^2)/CVol+CVol),TRUE())))/(EXP(-CRf)*_xlfn.NORM.S.DIST(-((LN(G$8/G21)-0.5*CVol^2)/CVol),TRUE()))</f>
        <v>2477.48378830334</v>
      </c>
    </row>
    <row r="23" customFormat="false" ht="15" hidden="false" customHeight="false" outlineLevel="0" collapsed="false">
      <c r="A23" s="7" t="s">
        <v>177</v>
      </c>
      <c r="C23" s="26" t="n">
        <f aca="false">C22+(C$10-EXP(-CRf)*(C22*_xlfn.NORM.S.DIST(-((LN(C$8/C22)-0.5*CVol^2)/CVol),TRUE())-C$8*_xlfn.NORM.S.DIST(-((LN(C$8/C22)-0.5*CVol^2)/CVol+CVol),TRUE())))/(EXP(-CRf)*_xlfn.NORM.S.DIST(-((LN(C$8/C22)-0.5*CVol^2)/CVol),TRUE()))</f>
        <v>2447.51422634806</v>
      </c>
      <c r="D23" s="26" t="n">
        <f aca="false">D22+(D$10-EXP(-CRf)*(D22*_xlfn.NORM.S.DIST(-((LN(D$8/D22)-0.5*CVol^2)/CVol),TRUE())-D$8*_xlfn.NORM.S.DIST(-((LN(D$8/D22)-0.5*CVol^2)/CVol+CVol),TRUE())))/(EXP(-CRf)*_xlfn.NORM.S.DIST(-((LN(D$8/D22)-0.5*CVol^2)/CVol),TRUE()))</f>
        <v>2717.2402839456</v>
      </c>
      <c r="E23" s="26" t="n">
        <f aca="false">E22+(E$10-EXP(-CRf)*(E22*_xlfn.NORM.S.DIST(-((LN(E$8/E22)-0.5*CVol^2)/CVol),TRUE())-E$8*_xlfn.NORM.S.DIST(-((LN(E$8/E22)-0.5*CVol^2)/CVol+CVol),TRUE())))/(EXP(-CRf)*_xlfn.NORM.S.DIST(-((LN(E$8/E22)-0.5*CVol^2)/CVol),TRUE()))</f>
        <v>2907.04750966239</v>
      </c>
      <c r="F23" s="26" t="n">
        <f aca="false">F22+(F$10-EXP(-CRf)*(F22*_xlfn.NORM.S.DIST(-((LN(F$8/F22)-0.5*CVol^2)/CVol),TRUE())-F$8*_xlfn.NORM.S.DIST(-((LN(F$8/F22)-0.5*CVol^2)/CVol+CVol),TRUE())))/(EXP(-CRf)*_xlfn.NORM.S.DIST(-((LN(F$8/F22)-0.5*CVol^2)/CVol),TRUE()))</f>
        <v>2637.32145206485</v>
      </c>
      <c r="G23" s="26" t="n">
        <f aca="false">G22+(G$10-EXP(-CRf)*(G22*_xlfn.NORM.S.DIST(-((LN(G$8/G22)-0.5*CVol^2)/CVol),TRUE())-G$8*_xlfn.NORM.S.DIST(-((LN(G$8/G22)-0.5*CVol^2)/CVol+CVol),TRUE())))/(EXP(-CRf)*_xlfn.NORM.S.DIST(-((LN(G$8/G22)-0.5*CVol^2)/CVol),TRUE()))</f>
        <v>2477.48378830334</v>
      </c>
    </row>
    <row r="25" customFormat="false" ht="15" hidden="false" customHeight="false" outlineLevel="0" collapsed="false">
      <c r="A25" s="29" t="s">
        <v>178</v>
      </c>
      <c r="C25" s="26" t="n">
        <f aca="false">C23</f>
        <v>2447.51422634806</v>
      </c>
      <c r="D25" s="26" t="n">
        <f aca="false">D23</f>
        <v>2717.2402839456</v>
      </c>
      <c r="E25" s="26" t="n">
        <f aca="false">E23</f>
        <v>2907.04750966239</v>
      </c>
      <c r="F25" s="26" t="n">
        <f aca="false">F23</f>
        <v>2637.32145206485</v>
      </c>
      <c r="G25" s="26" t="n">
        <f aca="false">G23</f>
        <v>2477.48378830334</v>
      </c>
    </row>
    <row r="26" customFormat="false" ht="15" hidden="false" customHeight="false" outlineLevel="0" collapsed="false">
      <c r="A26" s="7" t="s">
        <v>179</v>
      </c>
      <c r="C26" s="26" t="n">
        <f aca="false">INDEX(ComP,2)</f>
        <v>2720</v>
      </c>
      <c r="D26" s="26" t="n">
        <f aca="false">INDEX(ComP,3)</f>
        <v>2910</v>
      </c>
      <c r="E26" s="26" t="n">
        <f aca="false">INDEX(ComP,4)</f>
        <v>2640</v>
      </c>
      <c r="F26" s="26" t="n">
        <f aca="false">INDEX(ComP,5)</f>
        <v>2480</v>
      </c>
      <c r="G26" s="26" t="n">
        <f aca="false">INDEX(ComP,6)</f>
        <v>2360</v>
      </c>
    </row>
    <row r="27" customFormat="false" ht="15" hidden="false" customHeight="false" outlineLevel="0" collapsed="false">
      <c r="A27" s="29" t="s">
        <v>180</v>
      </c>
      <c r="C27" s="24" t="n">
        <f aca="false">(MAX(C26-C9,0)-MAX(C25-C26,0))*Tonnes</f>
        <v>1040000</v>
      </c>
      <c r="D27" s="24" t="n">
        <f aca="false">(MAX(D26-D9,0)-MAX(D25-D26,0))*Tonnes</f>
        <v>0</v>
      </c>
      <c r="E27" s="24" t="n">
        <f aca="false">(MAX(E26-E9,0)-MAX(E25-E26,0))*Tonnes</f>
        <v>-6943235.25122213</v>
      </c>
      <c r="F27" s="24" t="n">
        <f aca="false">(MAX(F26-F9,0)-MAX(F25-F26,0))*Tonnes</f>
        <v>-4090357.75368607</v>
      </c>
      <c r="G27" s="24" t="n">
        <f aca="false">(MAX(G26-G9,0)-MAX(G25-G26,0))*Tonnes</f>
        <v>-3054578.49588691</v>
      </c>
      <c r="H27" s="30" t="n">
        <f aca="false">SUM(C27:G27)</f>
        <v>-13048171.5007951</v>
      </c>
    </row>
    <row r="28" customFormat="false" ht="15" hidden="false" customHeight="false" outlineLevel="0" collapsed="false">
      <c r="A28" s="7" t="s">
        <v>181</v>
      </c>
      <c r="C28" s="24" t="n">
        <f aca="false">(C10-EXP(-CRf)*(C25*_xlfn.NORM.S.DIST(-((LN(C8/C25)-0.5*CVol^2)/CVol),TRUE())-C8*_xlfn.NORM.S.DIST(-((LN(C8/C25)-0.5*CVol^2)/CVol+CVol),TRUE())))*Tonnes</f>
        <v>0</v>
      </c>
      <c r="D28" s="24" t="n">
        <f aca="false">(D10-EXP(-CRf)*(D25*_xlfn.NORM.S.DIST(-((LN(D8/D25)-0.5*CVol^2)/CVol),TRUE())-D8*_xlfn.NORM.S.DIST(-((LN(D8/D25)-0.5*CVol^2)/CVol+CVol),TRUE())))*Tonnes</f>
        <v>0</v>
      </c>
      <c r="E28" s="24" t="n">
        <f aca="false">(E10-EXP(-CRf)*(E25*_xlfn.NORM.S.DIST(-((LN(E8/E25)-0.5*CVol^2)/CVol),TRUE())-E8*_xlfn.NORM.S.DIST(-((LN(E8/E25)-0.5*CVol^2)/CVol+CVol),TRUE())))*Tonnes</f>
        <v>0</v>
      </c>
      <c r="F28" s="24" t="n">
        <f aca="false">(F10-EXP(-CRf)*(F25*_xlfn.NORM.S.DIST(-((LN(F8/F25)-0.5*CVol^2)/CVol),TRUE())-F8*_xlfn.NORM.S.DIST(-((LN(F8/F25)-0.5*CVol^2)/CVol+CVol),TRUE())))*Tonnes</f>
        <v>0</v>
      </c>
      <c r="G28" s="24" t="n">
        <f aca="false">(G10-EXP(-CRf)*(G25*_xlfn.NORM.S.DIST(-((LN(G8/G25)-0.5*CVol^2)/CVol),TRUE())-G8*_xlfn.NORM.S.DIST(-((LN(G8/G25)-0.5*CVol^2)/CVol+CVol),TRUE())))*Tonnes</f>
        <v>0</v>
      </c>
      <c r="H28" s="30" t="n">
        <f aca="false">SUM(C28:G28)</f>
        <v>0</v>
      </c>
    </row>
    <row r="30" customFormat="false" ht="15" hidden="false" customHeight="false" outlineLevel="0" collapsed="false">
      <c r="A30" s="9" t="s">
        <v>182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4"/>
    <col collapsed="false" customWidth="true" hidden="false" outlineLevel="0" max="2" min="2" style="0" width="20"/>
  </cols>
  <sheetData>
    <row r="1" customFormat="false" ht="24" hidden="false" customHeight="true" outlineLevel="0" collapsed="false">
      <c r="A1" s="1" t="s">
        <v>183</v>
      </c>
    </row>
    <row r="2" customFormat="false" ht="15" hidden="false" customHeight="false" outlineLevel="0" collapsed="false">
      <c r="A2" s="2" t="s">
        <v>184</v>
      </c>
    </row>
    <row r="3" customFormat="false" ht="15" hidden="false" customHeight="false" outlineLevel="0" collapsed="false">
      <c r="A3" s="3"/>
      <c r="B3" s="3"/>
    </row>
    <row r="5" customFormat="false" ht="15" hidden="false" customHeight="false" outlineLevel="0" collapsed="false">
      <c r="A5" s="4" t="s">
        <v>185</v>
      </c>
      <c r="B5" s="6"/>
    </row>
    <row r="7" customFormat="false" ht="15" hidden="false" customHeight="false" outlineLevel="0" collapsed="false">
      <c r="A7" s="7" t="s">
        <v>186</v>
      </c>
      <c r="B7" s="26" t="n">
        <f aca="false">'The rolling collar'!$E$9</f>
        <v>2300</v>
      </c>
    </row>
    <row r="8" customFormat="false" ht="15" hidden="false" customHeight="false" outlineLevel="0" collapsed="false">
      <c r="A8" s="7" t="s">
        <v>187</v>
      </c>
      <c r="B8" s="26" t="n">
        <f aca="false">INDEX(ComP,3)</f>
        <v>2910</v>
      </c>
    </row>
    <row r="9" customFormat="false" ht="15" hidden="false" customHeight="false" outlineLevel="0" collapsed="false">
      <c r="A9" s="7" t="s">
        <v>188</v>
      </c>
      <c r="B9" s="26" t="n">
        <f aca="false">'The rolling collar'!$E$11</f>
        <v>2731.83673469388</v>
      </c>
    </row>
    <row r="10" customFormat="false" ht="15" hidden="false" customHeight="false" outlineLevel="0" collapsed="false">
      <c r="A10" s="7" t="s">
        <v>189</v>
      </c>
      <c r="B10" s="26" t="n">
        <f aca="false">INDEX(ComP,4)</f>
        <v>2640</v>
      </c>
    </row>
    <row r="11" customFormat="false" ht="15" hidden="false" customHeight="false" outlineLevel="0" collapsed="false">
      <c r="A11" s="7" t="s">
        <v>190</v>
      </c>
      <c r="B11" s="24" t="n">
        <f aca="false">-'The rolling collar'!$N$11</f>
        <v>2387755.10204083</v>
      </c>
    </row>
    <row r="12" customFormat="false" ht="15" hidden="false" customHeight="false" outlineLevel="0" collapsed="false">
      <c r="A12" s="7" t="s">
        <v>191</v>
      </c>
      <c r="B12" s="26" t="n">
        <f aca="false">'The rolling collar'!$E$13</f>
        <v>2328.16326530612</v>
      </c>
    </row>
    <row r="13" customFormat="false" ht="15" hidden="false" customHeight="false" outlineLevel="0" collapsed="false">
      <c r="A13" s="9" t="s">
        <v>192</v>
      </c>
    </row>
    <row r="15" customFormat="false" ht="15" hidden="false" customHeight="false" outlineLevel="0" collapsed="false">
      <c r="A15" s="4" t="s">
        <v>193</v>
      </c>
      <c r="B15" s="6"/>
    </row>
    <row r="17" customFormat="false" ht="15" hidden="false" customHeight="false" outlineLevel="0" collapsed="false">
      <c r="A17" s="7" t="s">
        <v>194</v>
      </c>
      <c r="B17" s="26" t="n">
        <f aca="false">'Zero premium'!$E$25</f>
        <v>2907.04750966239</v>
      </c>
    </row>
    <row r="18" customFormat="false" ht="15" hidden="false" customHeight="false" outlineLevel="0" collapsed="false">
      <c r="A18" s="7" t="s">
        <v>195</v>
      </c>
      <c r="B18" s="24" t="n">
        <f aca="false">-'Zero premium'!$E$27</f>
        <v>6943235.25122213</v>
      </c>
    </row>
    <row r="19" customFormat="false" ht="15" hidden="false" customHeight="false" outlineLevel="0" collapsed="false">
      <c r="A19" s="7" t="s">
        <v>196</v>
      </c>
      <c r="B19" s="24" t="n">
        <f aca="false">-'Zero premium'!$H$27</f>
        <v>13048171.5007951</v>
      </c>
    </row>
    <row r="20" customFormat="false" ht="15" hidden="false" customHeight="false" outlineLevel="0" collapsed="false">
      <c r="A20" s="9" t="s">
        <v>197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198</v>
      </c>
    </row>
    <row r="2" customFormat="false" ht="15" hidden="false" customHeight="false" outlineLevel="0" collapsed="false">
      <c r="A2" s="2" t="s">
        <v>199</v>
      </c>
    </row>
    <row r="3" customFormat="false" ht="15" hidden="false" customHeight="false" outlineLevel="0" collapsed="false">
      <c r="A3" s="3"/>
      <c r="B3" s="3"/>
      <c r="C3" s="3"/>
      <c r="D3" s="3"/>
      <c r="E3" s="3"/>
      <c r="F3" s="3"/>
    </row>
    <row r="5" customFormat="false" ht="15" hidden="false" customHeight="false" outlineLevel="0" collapsed="false">
      <c r="A5" s="9" t="s">
        <v>200</v>
      </c>
    </row>
    <row r="7" customFormat="false" ht="30" hidden="false" customHeight="true" outlineLevel="0" collapsed="false">
      <c r="A7" s="11" t="s">
        <v>201</v>
      </c>
      <c r="B7" s="12" t="s">
        <v>202</v>
      </c>
      <c r="C7" s="12" t="s">
        <v>203</v>
      </c>
      <c r="D7" s="12" t="s">
        <v>204</v>
      </c>
      <c r="E7" s="12" t="s">
        <v>205</v>
      </c>
      <c r="F7" s="12" t="s">
        <v>206</v>
      </c>
    </row>
    <row r="8" customFormat="false" ht="15" hidden="false" customHeight="false" outlineLevel="0" collapsed="false">
      <c r="A8" s="7" t="s">
        <v>207</v>
      </c>
      <c r="B8" s="7" t="s">
        <v>208</v>
      </c>
      <c r="C8" s="26" t="n">
        <v>2550.94</v>
      </c>
      <c r="D8" s="26" t="n">
        <f aca="false">'Black-76'!$B$7</f>
        <v>2550.94</v>
      </c>
      <c r="E8" s="32" t="n">
        <f aca="false">D8-C8</f>
        <v>0</v>
      </c>
      <c r="F8" s="33" t="str">
        <f aca="false">IF(ABS(E8)&lt;=0.005,"PASS","FAIL")</f>
        <v>PASS</v>
      </c>
    </row>
    <row r="9" customFormat="false" ht="15" hidden="false" customHeight="false" outlineLevel="0" collapsed="false">
      <c r="A9" s="20" t="s">
        <v>207</v>
      </c>
      <c r="B9" s="20" t="s">
        <v>99</v>
      </c>
      <c r="C9" s="27" t="n">
        <v>182.84</v>
      </c>
      <c r="D9" s="27" t="n">
        <f aca="false">'Black-76'!$B$10</f>
        <v>182.838569544106</v>
      </c>
      <c r="E9" s="34" t="n">
        <f aca="false">D9-C9</f>
        <v>-0.00143045589371127</v>
      </c>
      <c r="F9" s="35" t="str">
        <f aca="false">IF(ABS(E9)&lt;=0.005,"PASS","FAIL")</f>
        <v>PASS</v>
      </c>
    </row>
    <row r="10" customFormat="false" ht="15" hidden="false" customHeight="false" outlineLevel="0" collapsed="false">
      <c r="A10" s="7" t="s">
        <v>207</v>
      </c>
      <c r="B10" s="7" t="s">
        <v>102</v>
      </c>
      <c r="C10" s="26" t="n">
        <v>122.18</v>
      </c>
      <c r="D10" s="26" t="n">
        <f aca="false">'Black-76'!$B$13</f>
        <v>122.175665943355</v>
      </c>
      <c r="E10" s="32" t="n">
        <f aca="false">D10-C10</f>
        <v>-0.0043340566447938</v>
      </c>
      <c r="F10" s="33" t="str">
        <f aca="false">IF(ABS(E10)&lt;=0.005,"PASS","FAIL")</f>
        <v>PASS</v>
      </c>
    </row>
    <row r="11" customFormat="false" ht="15" hidden="false" customHeight="false" outlineLevel="0" collapsed="false">
      <c r="A11" s="20" t="s">
        <v>207</v>
      </c>
      <c r="B11" s="20" t="s">
        <v>209</v>
      </c>
      <c r="C11" s="27" t="n">
        <v>60.66</v>
      </c>
      <c r="D11" s="27" t="n">
        <f aca="false">'Black-76'!$B$14</f>
        <v>60.6629036007511</v>
      </c>
      <c r="E11" s="34" t="n">
        <f aca="false">D11-C11</f>
        <v>0.00290360075108254</v>
      </c>
      <c r="F11" s="35" t="str">
        <f aca="false">IF(ABS(E11)&lt;=0.005,"PASS","FAIL")</f>
        <v>PASS</v>
      </c>
    </row>
    <row r="12" customFormat="false" ht="15" hidden="false" customHeight="false" outlineLevel="0" collapsed="false">
      <c r="A12" s="7" t="s">
        <v>207</v>
      </c>
      <c r="B12" s="7" t="s">
        <v>210</v>
      </c>
      <c r="C12" s="24" t="n">
        <v>1577235</v>
      </c>
      <c r="D12" s="24" t="n">
        <f aca="false">'Black-76'!$B$15</f>
        <v>1577235.49361953</v>
      </c>
      <c r="E12" s="32" t="n">
        <f aca="false">D12-C12</f>
        <v>0.493619528133422</v>
      </c>
      <c r="F12" s="33" t="str">
        <f aca="false">IF(ABS(E12)&lt;=0.5,"PASS","FAIL")</f>
        <v>PASS</v>
      </c>
    </row>
    <row r="13" customFormat="false" ht="15" hidden="false" customHeight="false" outlineLevel="0" collapsed="false">
      <c r="A13" s="20" t="s">
        <v>207</v>
      </c>
      <c r="B13" s="20" t="s">
        <v>211</v>
      </c>
      <c r="C13" s="27" t="n">
        <v>2447.51</v>
      </c>
      <c r="D13" s="27" t="n">
        <f aca="false">'Black-76'!$B$35</f>
        <v>2447.51422634806</v>
      </c>
      <c r="E13" s="34" t="n">
        <f aca="false">D13-C13</f>
        <v>0.00422634805954658</v>
      </c>
      <c r="F13" s="35" t="str">
        <f aca="false">IF(ABS(E13)&lt;=0.005,"PASS","FAIL")</f>
        <v>PASS</v>
      </c>
    </row>
    <row r="14" customFormat="false" ht="15" hidden="false" customHeight="false" outlineLevel="0" collapsed="false">
      <c r="A14" s="7" t="s">
        <v>207</v>
      </c>
      <c r="B14" s="7" t="s">
        <v>212</v>
      </c>
      <c r="C14" s="26" t="n">
        <v>147.51</v>
      </c>
      <c r="D14" s="26" t="n">
        <f aca="false">'Black-76'!$B$36</f>
        <v>147.51422634806</v>
      </c>
      <c r="E14" s="32" t="n">
        <f aca="false">D14-C14</f>
        <v>0.00422634805977395</v>
      </c>
      <c r="F14" s="33" t="str">
        <f aca="false">IF(ABS(E14)&lt;=0.005,"PASS","FAIL")</f>
        <v>PASS</v>
      </c>
    </row>
    <row r="15" customFormat="false" ht="15" hidden="false" customHeight="false" outlineLevel="0" collapsed="false">
      <c r="A15" s="20" t="s">
        <v>213</v>
      </c>
      <c r="B15" s="20" t="s">
        <v>214</v>
      </c>
      <c r="C15" s="27" t="n">
        <v>2680</v>
      </c>
      <c r="D15" s="27" t="n">
        <f aca="false">'The rolling collar'!$D$9</f>
        <v>2680</v>
      </c>
      <c r="E15" s="34" t="n">
        <f aca="false">D15-C15</f>
        <v>0</v>
      </c>
      <c r="F15" s="35" t="str">
        <f aca="false">IF(ABS(E15)&lt;=0.005,"PASS","FAIL")</f>
        <v>PASS</v>
      </c>
    </row>
    <row r="16" customFormat="false" ht="15" hidden="false" customHeight="false" outlineLevel="0" collapsed="false">
      <c r="A16" s="7" t="s">
        <v>213</v>
      </c>
      <c r="B16" s="7" t="s">
        <v>215</v>
      </c>
      <c r="C16" s="26" t="n">
        <v>2300</v>
      </c>
      <c r="D16" s="26" t="n">
        <f aca="false">'The rolling collar'!$E$9</f>
        <v>2300</v>
      </c>
      <c r="E16" s="32" t="n">
        <f aca="false">D16-C16</f>
        <v>0</v>
      </c>
      <c r="F16" s="33" t="str">
        <f aca="false">IF(ABS(E16)&lt;=0.005,"PASS","FAIL")</f>
        <v>PASS</v>
      </c>
    </row>
    <row r="17" customFormat="false" ht="15" hidden="false" customHeight="false" outlineLevel="0" collapsed="false">
      <c r="A17" s="20" t="s">
        <v>213</v>
      </c>
      <c r="B17" s="20" t="s">
        <v>216</v>
      </c>
      <c r="C17" s="27" t="n">
        <v>2975.35</v>
      </c>
      <c r="D17" s="27" t="n">
        <f aca="false">'The rolling collar'!$D$10</f>
        <v>2975.34693877551</v>
      </c>
      <c r="E17" s="34" t="n">
        <f aca="false">D17-C17</f>
        <v>-0.00306122448910173</v>
      </c>
      <c r="F17" s="35" t="str">
        <f aca="false">IF(ABS(E17)&lt;=0.005,"PASS","FAIL")</f>
        <v>PASS</v>
      </c>
    </row>
    <row r="18" customFormat="false" ht="15" hidden="false" customHeight="false" outlineLevel="0" collapsed="false">
      <c r="A18" s="7" t="s">
        <v>213</v>
      </c>
      <c r="B18" s="7" t="s">
        <v>217</v>
      </c>
      <c r="C18" s="26" t="n">
        <v>2553.47</v>
      </c>
      <c r="D18" s="26" t="n">
        <f aca="false">'The rolling collar'!$E$10</f>
        <v>2553.4693877551</v>
      </c>
      <c r="E18" s="32" t="n">
        <f aca="false">D18-C18</f>
        <v>-0.000612244897638448</v>
      </c>
      <c r="F18" s="33" t="str">
        <f aca="false">IF(ABS(E18)&lt;=0.005,"PASS","FAIL")</f>
        <v>PASS</v>
      </c>
    </row>
    <row r="19" customFormat="false" ht="15" hidden="false" customHeight="false" outlineLevel="0" collapsed="false">
      <c r="A19" s="20" t="s">
        <v>213</v>
      </c>
      <c r="B19" s="20" t="s">
        <v>218</v>
      </c>
      <c r="C19" s="27" t="n">
        <v>3183.18</v>
      </c>
      <c r="D19" s="27" t="n">
        <f aca="false">'The rolling collar'!$D$11</f>
        <v>3183.18367346939</v>
      </c>
      <c r="E19" s="34" t="n">
        <f aca="false">D19-C19</f>
        <v>0.00367346938855917</v>
      </c>
      <c r="F19" s="35" t="str">
        <f aca="false">IF(ABS(E19)&lt;=0.005,"PASS","FAIL")</f>
        <v>PASS</v>
      </c>
    </row>
    <row r="20" customFormat="false" ht="15" hidden="false" customHeight="false" outlineLevel="0" collapsed="false">
      <c r="A20" s="7" t="s">
        <v>213</v>
      </c>
      <c r="B20" s="7" t="s">
        <v>219</v>
      </c>
      <c r="C20" s="26" t="n">
        <v>2731.84</v>
      </c>
      <c r="D20" s="26" t="n">
        <f aca="false">'The rolling collar'!$E$11</f>
        <v>2731.83673469388</v>
      </c>
      <c r="E20" s="32" t="n">
        <f aca="false">D20-C20</f>
        <v>-0.00326530612210263</v>
      </c>
      <c r="F20" s="33" t="str">
        <f aca="false">IF(ABS(E20)&lt;=0.005,"PASS","FAIL")</f>
        <v>PASS</v>
      </c>
    </row>
    <row r="21" customFormat="false" ht="15" hidden="false" customHeight="false" outlineLevel="0" collapsed="false">
      <c r="A21" s="20" t="s">
        <v>213</v>
      </c>
      <c r="B21" s="20" t="s">
        <v>220</v>
      </c>
      <c r="C21" s="27" t="n">
        <v>2887.84</v>
      </c>
      <c r="D21" s="27" t="n">
        <f aca="false">'The rolling collar'!$D$12</f>
        <v>2887.83673469388</v>
      </c>
      <c r="E21" s="34" t="n">
        <f aca="false">D21-C21</f>
        <v>-0.00326530612255738</v>
      </c>
      <c r="F21" s="35" t="str">
        <f aca="false">IF(ABS(E21)&lt;=0.005,"PASS","FAIL")</f>
        <v>PASS</v>
      </c>
    </row>
    <row r="22" customFormat="false" ht="15" hidden="false" customHeight="false" outlineLevel="0" collapsed="false">
      <c r="A22" s="7" t="s">
        <v>213</v>
      </c>
      <c r="B22" s="7" t="s">
        <v>221</v>
      </c>
      <c r="C22" s="26" t="n">
        <v>2478.37</v>
      </c>
      <c r="D22" s="26" t="n">
        <f aca="false">'The rolling collar'!$E$12</f>
        <v>2478.36734693878</v>
      </c>
      <c r="E22" s="32" t="n">
        <f aca="false">D22-C22</f>
        <v>-0.00265306122446418</v>
      </c>
      <c r="F22" s="33" t="str">
        <f aca="false">IF(ABS(E22)&lt;=0.005,"PASS","FAIL")</f>
        <v>PASS</v>
      </c>
    </row>
    <row r="23" customFormat="false" ht="15" hidden="false" customHeight="false" outlineLevel="0" collapsed="false">
      <c r="A23" s="20" t="s">
        <v>213</v>
      </c>
      <c r="B23" s="20" t="s">
        <v>222</v>
      </c>
      <c r="C23" s="27" t="n">
        <v>2712.82</v>
      </c>
      <c r="D23" s="27" t="n">
        <f aca="false">'The rolling collar'!$D$13</f>
        <v>2712.81632653061</v>
      </c>
      <c r="E23" s="34" t="n">
        <f aca="false">D23-C23</f>
        <v>-0.00367346938764968</v>
      </c>
      <c r="F23" s="35" t="str">
        <f aca="false">IF(ABS(E23)&lt;=0.005,"PASS","FAIL")</f>
        <v>PASS</v>
      </c>
    </row>
    <row r="24" customFormat="false" ht="15" hidden="false" customHeight="false" outlineLevel="0" collapsed="false">
      <c r="A24" s="7" t="s">
        <v>213</v>
      </c>
      <c r="B24" s="7" t="s">
        <v>223</v>
      </c>
      <c r="C24" s="26" t="n">
        <v>2328.16</v>
      </c>
      <c r="D24" s="26" t="n">
        <f aca="false">'The rolling collar'!$E$13</f>
        <v>2328.16326530612</v>
      </c>
      <c r="E24" s="32" t="n">
        <f aca="false">D24-C24</f>
        <v>0.00326530612301212</v>
      </c>
      <c r="F24" s="33" t="str">
        <f aca="false">IF(ABS(E24)&lt;=0.005,"PASS","FAIL")</f>
        <v>PASS</v>
      </c>
    </row>
    <row r="25" customFormat="false" ht="15" hidden="false" customHeight="false" outlineLevel="0" collapsed="false">
      <c r="A25" s="20" t="s">
        <v>213</v>
      </c>
      <c r="B25" s="20" t="s">
        <v>224</v>
      </c>
      <c r="C25" s="28" t="n">
        <v>1577235</v>
      </c>
      <c r="D25" s="28" t="n">
        <f aca="false">'The rolling collar'!$M$9</f>
        <v>1577235.49361953</v>
      </c>
      <c r="E25" s="34" t="n">
        <f aca="false">D25-C25</f>
        <v>0.493619528133422</v>
      </c>
      <c r="F25" s="35" t="str">
        <f aca="false">IF(ABS(E25)&lt;=0.5,"PASS","FAIL")</f>
        <v>PASS</v>
      </c>
    </row>
    <row r="26" customFormat="false" ht="15" hidden="false" customHeight="false" outlineLevel="0" collapsed="false">
      <c r="A26" s="7" t="s">
        <v>213</v>
      </c>
      <c r="B26" s="7" t="s">
        <v>225</v>
      </c>
      <c r="C26" s="24" t="n">
        <v>1751053</v>
      </c>
      <c r="D26" s="24" t="n">
        <f aca="false">'The rolling collar'!$M$10</f>
        <v>1751053.28271229</v>
      </c>
      <c r="E26" s="32" t="n">
        <f aca="false">D26-C26</f>
        <v>0.282712292391807</v>
      </c>
      <c r="F26" s="33" t="str">
        <f aca="false">IF(ABS(E26)&lt;=0.5,"PASS","FAIL")</f>
        <v>PASS</v>
      </c>
    </row>
    <row r="27" customFormat="false" ht="15" hidden="false" customHeight="false" outlineLevel="0" collapsed="false">
      <c r="A27" s="20" t="s">
        <v>213</v>
      </c>
      <c r="B27" s="20" t="s">
        <v>226</v>
      </c>
      <c r="C27" s="28" t="n">
        <v>1873370</v>
      </c>
      <c r="D27" s="28" t="n">
        <f aca="false">'The rolling collar'!$M$11</f>
        <v>1873369.50466645</v>
      </c>
      <c r="E27" s="34" t="n">
        <f aca="false">D27-C27</f>
        <v>-0.495333547471091</v>
      </c>
      <c r="F27" s="35" t="str">
        <f aca="false">IF(ABS(E27)&lt;=0.5,"PASS","FAIL")</f>
        <v>PASS</v>
      </c>
    </row>
    <row r="28" customFormat="false" ht="15" hidden="false" customHeight="false" outlineLevel="0" collapsed="false">
      <c r="A28" s="7" t="s">
        <v>213</v>
      </c>
      <c r="B28" s="7" t="s">
        <v>227</v>
      </c>
      <c r="C28" s="24" t="n">
        <v>1699552</v>
      </c>
      <c r="D28" s="24" t="n">
        <f aca="false">'The rolling collar'!$M$12</f>
        <v>1699551.7155737</v>
      </c>
      <c r="E28" s="32" t="n">
        <f aca="false">D28-C28</f>
        <v>-0.284426300320774</v>
      </c>
      <c r="F28" s="33" t="str">
        <f aca="false">IF(ABS(E28)&lt;=0.5,"PASS","FAIL")</f>
        <v>PASS</v>
      </c>
    </row>
    <row r="29" customFormat="false" ht="15" hidden="false" customHeight="false" outlineLevel="0" collapsed="false">
      <c r="A29" s="20" t="s">
        <v>213</v>
      </c>
      <c r="B29" s="20" t="s">
        <v>228</v>
      </c>
      <c r="C29" s="28" t="n">
        <v>1596549</v>
      </c>
      <c r="D29" s="28" t="n">
        <f aca="false">'The rolling collar'!$M$13</f>
        <v>1596548.58129651</v>
      </c>
      <c r="E29" s="34" t="n">
        <f aca="false">D29-C29</f>
        <v>-0.418703495059162</v>
      </c>
      <c r="F29" s="35" t="str">
        <f aca="false">IF(ABS(E29)&lt;=0.5,"PASS","FAIL")</f>
        <v>PASS</v>
      </c>
    </row>
    <row r="30" customFormat="false" ht="15" hidden="false" customHeight="false" outlineLevel="0" collapsed="false">
      <c r="A30" s="7" t="s">
        <v>213</v>
      </c>
      <c r="B30" s="7" t="s">
        <v>229</v>
      </c>
      <c r="C30" s="24" t="n">
        <v>8497759</v>
      </c>
      <c r="D30" s="24" t="n">
        <f aca="false">'The rolling collar'!$M$14</f>
        <v>8497758.57786848</v>
      </c>
      <c r="E30" s="32" t="n">
        <f aca="false">D30-C30</f>
        <v>-0.422131521627307</v>
      </c>
      <c r="F30" s="33" t="str">
        <f aca="false">IF(ABS(E30)&lt;=0.5,"PASS","FAIL")</f>
        <v>PASS</v>
      </c>
    </row>
    <row r="31" customFormat="false" ht="15" hidden="false" customHeight="false" outlineLevel="0" collapsed="false">
      <c r="A31" s="20" t="s">
        <v>213</v>
      </c>
      <c r="B31" s="20" t="s">
        <v>230</v>
      </c>
      <c r="C31" s="28" t="n">
        <v>1040000</v>
      </c>
      <c r="D31" s="28" t="n">
        <f aca="false">'The rolling collar'!$N$9</f>
        <v>1040000</v>
      </c>
      <c r="E31" s="34" t="n">
        <f aca="false">D31-C31</f>
        <v>0</v>
      </c>
      <c r="F31" s="35" t="str">
        <f aca="false">IF(ABS(E31)&lt;=0.5,"PASS","FAIL")</f>
        <v>PASS</v>
      </c>
    </row>
    <row r="32" customFormat="false" ht="15" hidden="false" customHeight="false" outlineLevel="0" collapsed="false">
      <c r="A32" s="7" t="s">
        <v>213</v>
      </c>
      <c r="B32" s="7" t="s">
        <v>231</v>
      </c>
      <c r="C32" s="24" t="n">
        <v>0</v>
      </c>
      <c r="D32" s="24" t="n">
        <f aca="false">'The rolling collar'!$N$10</f>
        <v>0</v>
      </c>
      <c r="E32" s="32" t="n">
        <f aca="false">D32-C32</f>
        <v>0</v>
      </c>
      <c r="F32" s="33" t="str">
        <f aca="false">IF(ABS(E32)&lt;=0.5,"PASS","FAIL")</f>
        <v>PASS</v>
      </c>
    </row>
    <row r="33" customFormat="false" ht="15" hidden="false" customHeight="false" outlineLevel="0" collapsed="false">
      <c r="A33" s="20" t="s">
        <v>213</v>
      </c>
      <c r="B33" s="20" t="s">
        <v>232</v>
      </c>
      <c r="C33" s="28" t="n">
        <v>-2387755</v>
      </c>
      <c r="D33" s="28" t="n">
        <f aca="false">'The rolling collar'!$N$11</f>
        <v>-2387755.10204083</v>
      </c>
      <c r="E33" s="34" t="n">
        <f aca="false">D33-C33</f>
        <v>-0.102040829136968</v>
      </c>
      <c r="F33" s="35" t="str">
        <f aca="false">IF(ABS(E33)&lt;=0.5,"PASS","FAIL")</f>
        <v>PASS</v>
      </c>
    </row>
    <row r="34" customFormat="false" ht="15" hidden="false" customHeight="false" outlineLevel="0" collapsed="false">
      <c r="A34" s="7" t="s">
        <v>213</v>
      </c>
      <c r="B34" s="7" t="s">
        <v>233</v>
      </c>
      <c r="C34" s="24" t="n">
        <v>0</v>
      </c>
      <c r="D34" s="24" t="n">
        <f aca="false">'The rolling collar'!$N$12</f>
        <v>0</v>
      </c>
      <c r="E34" s="32" t="n">
        <f aca="false">D34-C34</f>
        <v>0</v>
      </c>
      <c r="F34" s="33" t="str">
        <f aca="false">IF(ABS(E34)&lt;=0.5,"PASS","FAIL")</f>
        <v>PASS</v>
      </c>
    </row>
    <row r="35" customFormat="false" ht="15" hidden="false" customHeight="false" outlineLevel="0" collapsed="false">
      <c r="A35" s="20" t="s">
        <v>213</v>
      </c>
      <c r="B35" s="20" t="s">
        <v>234</v>
      </c>
      <c r="C35" s="28" t="n">
        <v>0</v>
      </c>
      <c r="D35" s="28" t="n">
        <f aca="false">'The rolling collar'!$N$13</f>
        <v>0</v>
      </c>
      <c r="E35" s="34" t="n">
        <f aca="false">D35-C35</f>
        <v>0</v>
      </c>
      <c r="F35" s="35" t="str">
        <f aca="false">IF(ABS(E35)&lt;=0.5,"PASS","FAIL")</f>
        <v>PASS</v>
      </c>
    </row>
    <row r="36" customFormat="false" ht="15" hidden="false" customHeight="false" outlineLevel="0" collapsed="false">
      <c r="A36" s="7" t="s">
        <v>213</v>
      </c>
      <c r="B36" s="7" t="s">
        <v>235</v>
      </c>
      <c r="C36" s="24" t="n">
        <v>-1347755</v>
      </c>
      <c r="D36" s="24" t="n">
        <f aca="false">'The rolling collar'!$N$14</f>
        <v>-1347755.10204083</v>
      </c>
      <c r="E36" s="32" t="n">
        <f aca="false">D36-C36</f>
        <v>-0.102040829136968</v>
      </c>
      <c r="F36" s="33" t="str">
        <f aca="false">IF(ABS(E36)&lt;=0.5,"PASS","FAIL")</f>
        <v>PASS</v>
      </c>
    </row>
    <row r="37" customFormat="false" ht="15" hidden="false" customHeight="false" outlineLevel="0" collapsed="false">
      <c r="A37" s="20" t="s">
        <v>213</v>
      </c>
      <c r="B37" s="20" t="s">
        <v>156</v>
      </c>
      <c r="C37" s="36" t="n">
        <v>7.05</v>
      </c>
      <c r="D37" s="36" t="n">
        <f aca="false">'The rolling collar'!$B$16</f>
        <v>7.05211388820247</v>
      </c>
      <c r="E37" s="34" t="n">
        <f aca="false">D37-C37</f>
        <v>0.00211388820246583</v>
      </c>
      <c r="F37" s="35" t="str">
        <f aca="false">IF(ABS(E37)&lt;=0.005,"PASS","FAIL")</f>
        <v>PASS</v>
      </c>
    </row>
    <row r="38" customFormat="false" ht="15" hidden="false" customHeight="false" outlineLevel="0" collapsed="false">
      <c r="A38" s="7" t="s">
        <v>213</v>
      </c>
      <c r="B38" s="7" t="s">
        <v>236</v>
      </c>
      <c r="C38" s="31" t="n">
        <v>6.31</v>
      </c>
      <c r="D38" s="31" t="n">
        <f aca="false">'The rolling collar'!$B$17</f>
        <v>6.30512068921186</v>
      </c>
      <c r="E38" s="32" t="n">
        <f aca="false">D38-C38</f>
        <v>-0.00487931078813553</v>
      </c>
      <c r="F38" s="33" t="str">
        <f aca="false">IF(ABS(E38)&lt;=0.005,"PASS","FAIL")</f>
        <v>PASS</v>
      </c>
    </row>
    <row r="39" customFormat="false" ht="15" hidden="false" customHeight="false" outlineLevel="0" collapsed="false">
      <c r="A39" s="20" t="s">
        <v>237</v>
      </c>
      <c r="B39" s="20" t="s">
        <v>238</v>
      </c>
      <c r="C39" s="27" t="n">
        <v>2447.51</v>
      </c>
      <c r="D39" s="27" t="n">
        <f aca="false">'Zero premium'!$C$25</f>
        <v>2447.51422634806</v>
      </c>
      <c r="E39" s="34" t="n">
        <f aca="false">D39-C39</f>
        <v>0.00422634805954658</v>
      </c>
      <c r="F39" s="35" t="str">
        <f aca="false">IF(ABS(E39)&lt;=0.005,"PASS","FAIL")</f>
        <v>PASS</v>
      </c>
    </row>
    <row r="40" customFormat="false" ht="15" hidden="false" customHeight="false" outlineLevel="0" collapsed="false">
      <c r="A40" s="7" t="s">
        <v>237</v>
      </c>
      <c r="B40" s="7" t="s">
        <v>239</v>
      </c>
      <c r="C40" s="26" t="n">
        <v>2907.05</v>
      </c>
      <c r="D40" s="26" t="n">
        <f aca="false">'Zero premium'!$E$25</f>
        <v>2907.04750966239</v>
      </c>
      <c r="E40" s="32" t="n">
        <f aca="false">D40-C40</f>
        <v>-0.0024903376106522</v>
      </c>
      <c r="F40" s="33" t="str">
        <f aca="false">IF(ABS(E40)&lt;=0.005,"PASS","FAIL")</f>
        <v>PASS</v>
      </c>
    </row>
    <row r="41" customFormat="false" ht="15" hidden="false" customHeight="false" outlineLevel="0" collapsed="false">
      <c r="A41" s="20" t="s">
        <v>237</v>
      </c>
      <c r="B41" s="20" t="s">
        <v>240</v>
      </c>
      <c r="C41" s="28" t="n">
        <v>-6943235</v>
      </c>
      <c r="D41" s="28" t="n">
        <f aca="false">'Zero premium'!$E$27</f>
        <v>-6943235.25122213</v>
      </c>
      <c r="E41" s="34" t="n">
        <f aca="false">D41-C41</f>
        <v>-0.251222128048539</v>
      </c>
      <c r="F41" s="35" t="str">
        <f aca="false">IF(ABS(E41)&lt;=0.5,"PASS","FAIL")</f>
        <v>PASS</v>
      </c>
    </row>
    <row r="42" customFormat="false" ht="15" hidden="false" customHeight="false" outlineLevel="0" collapsed="false">
      <c r="A42" s="7" t="s">
        <v>237</v>
      </c>
      <c r="B42" s="7" t="s">
        <v>241</v>
      </c>
      <c r="C42" s="24" t="n">
        <v>-13048172</v>
      </c>
      <c r="D42" s="24" t="n">
        <f aca="false">'Zero premium'!$H$27</f>
        <v>-13048171.5007951</v>
      </c>
      <c r="E42" s="32" t="n">
        <f aca="false">D42-C42</f>
        <v>0.499204885214567</v>
      </c>
      <c r="F42" s="33" t="str">
        <f aca="false">IF(ABS(E42)&lt;=0.5,"PASS","FAIL")</f>
        <v>PASS</v>
      </c>
    </row>
    <row r="43" customFormat="false" ht="15" hidden="false" customHeight="false" outlineLevel="0" collapsed="false">
      <c r="A43" s="20" t="s">
        <v>237</v>
      </c>
      <c r="B43" s="20" t="s">
        <v>242</v>
      </c>
      <c r="C43" s="28" t="n">
        <v>0</v>
      </c>
      <c r="D43" s="28" t="n">
        <f aca="false">'Zero premium'!$H$28</f>
        <v>0</v>
      </c>
      <c r="E43" s="34" t="n">
        <f aca="false">D43-C43</f>
        <v>0</v>
      </c>
      <c r="F43" s="35" t="str">
        <f aca="false">IF(ABS(E43)&lt;=0.5,"PASS","FAIL")</f>
        <v>PASS</v>
      </c>
    </row>
    <row r="44" customFormat="false" ht="15" hidden="false" customHeight="false" outlineLevel="0" collapsed="false">
      <c r="A44" s="7" t="n">
        <v>6</v>
      </c>
      <c r="B44" s="7" t="s">
        <v>243</v>
      </c>
      <c r="C44" s="37" t="n">
        <v>0.0248</v>
      </c>
      <c r="D44" s="37" t="n">
        <f aca="false">'Black-76'!B15/(CSpot*Tonnes)</f>
        <v>0.0247603688166331</v>
      </c>
      <c r="E44" s="32" t="n">
        <f aca="false">D44-C44</f>
        <v>-3.96311833669033E-005</v>
      </c>
      <c r="F44" s="33" t="str">
        <f aca="false">IF(ABS(E44)&lt;=0.00005,"PASS","FAIL")</f>
        <v>PASS</v>
      </c>
    </row>
    <row r="45" customFormat="false" ht="15" hidden="false" customHeight="false" outlineLevel="0" collapsed="false">
      <c r="A45" s="20" t="n">
        <v>6</v>
      </c>
      <c r="B45" s="20" t="s">
        <v>244</v>
      </c>
      <c r="C45" s="38" t="n">
        <v>0.0357</v>
      </c>
      <c r="D45" s="38" t="n">
        <f aca="false">'Black-76'!B15/Ebitda</f>
        <v>0.0356840609416183</v>
      </c>
      <c r="E45" s="34" t="n">
        <f aca="false">D45-C45</f>
        <v>-1.59390583817157E-005</v>
      </c>
      <c r="F45" s="35" t="str">
        <f aca="false">IF(ABS(E45)&lt;=0.00005,"PASS","FAIL")</f>
        <v>PASS</v>
      </c>
    </row>
    <row r="46" customFormat="false" ht="15" hidden="false" customHeight="false" outlineLevel="0" collapsed="false">
      <c r="A46" s="7" t="n">
        <v>6</v>
      </c>
      <c r="B46" s="7" t="s">
        <v>245</v>
      </c>
      <c r="C46" s="19" t="n">
        <v>1.28</v>
      </c>
      <c r="D46" s="19" t="n">
        <f aca="false">'Black-76'!B15/(Hedged/Spot-Hedged/Fwd1)</f>
        <v>1.27846133182663</v>
      </c>
      <c r="E46" s="32" t="n">
        <f aca="false">D46-C46</f>
        <v>-0.00153866817337422</v>
      </c>
      <c r="F46" s="33" t="str">
        <f aca="false">IF(ABS(E46)&lt;=0.005,"PASS","FAIL")</f>
        <v>PASS</v>
      </c>
    </row>
    <row r="47" customFormat="false" ht="15" hidden="false" customHeight="false" outlineLevel="0" collapsed="false">
      <c r="A47" s="20" t="n">
        <v>6</v>
      </c>
      <c r="B47" s="20" t="s">
        <v>246</v>
      </c>
      <c r="C47" s="23" t="n">
        <v>1.94</v>
      </c>
      <c r="D47" s="23" t="n">
        <f aca="false">('Black-76'!B7-FloK)/(CapK-'Black-76'!B7)</f>
        <v>1.94436696110335</v>
      </c>
      <c r="E47" s="34" t="n">
        <f aca="false">D47-C47</f>
        <v>0.00436696110335366</v>
      </c>
      <c r="F47" s="35" t="str">
        <f aca="false">IF(ABS(E47)&lt;=0.005,"PASS","FAIL")</f>
        <v>PASS</v>
      </c>
    </row>
    <row r="48" customFormat="false" ht="15" hidden="false" customHeight="false" outlineLevel="0" collapsed="false">
      <c r="A48" s="7" t="n">
        <v>6</v>
      </c>
      <c r="B48" s="7" t="s">
        <v>247</v>
      </c>
      <c r="C48" s="19" t="n">
        <v>0.41</v>
      </c>
      <c r="D48" s="19" t="n">
        <f aca="false">'Black-76'!B14/'Black-76'!B36</f>
        <v>0.411234259247762</v>
      </c>
      <c r="E48" s="32" t="n">
        <f aca="false">D48-C48</f>
        <v>0.00123425924776222</v>
      </c>
      <c r="F48" s="33" t="str">
        <f aca="false">IF(ABS(E48)&lt;=0.005,"PASS","FAIL")</f>
        <v>PASS</v>
      </c>
    </row>
    <row r="49" customFormat="false" ht="15" hidden="false" customHeight="false" outlineLevel="0" collapsed="false">
      <c r="A49" s="20" t="n">
        <v>7</v>
      </c>
      <c r="B49" s="20" t="s">
        <v>248</v>
      </c>
      <c r="C49" s="23" t="n">
        <v>1.63</v>
      </c>
      <c r="D49" s="23" t="n">
        <f aca="false">INDEX(ComP,5)-'The rolling collar'!$E$12</f>
        <v>1.63265306122457</v>
      </c>
      <c r="E49" s="34" t="n">
        <f aca="false">D49-C49</f>
        <v>0.00265306122457343</v>
      </c>
      <c r="F49" s="35" t="str">
        <f aca="false">IF(ABS(E49)&lt;=0.005,"PASS","FAIL")</f>
        <v>PASS</v>
      </c>
    </row>
    <row r="51" customFormat="false" ht="15" hidden="false" customHeight="false" outlineLevel="0" collapsed="false">
      <c r="B51" s="29" t="s">
        <v>249</v>
      </c>
      <c r="C51" s="39" t="n">
        <f aca="false">COUNTIF(F8:F49,"PASS")</f>
        <v>42</v>
      </c>
    </row>
    <row r="52" customFormat="false" ht="15" hidden="false" customHeight="false" outlineLevel="0" collapsed="false">
      <c r="B52" s="29" t="s">
        <v>250</v>
      </c>
      <c r="C52" s="39" t="n">
        <f aca="false">COUNTIF(F8:F49,"FAIL")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2026-08-30T01:22:04Z</dcterms:created>
  <dc:creator>openpyxl</dc:creator>
  <dc:description/>
  <dc:language>en-US</dc:language>
  <cp:lastModifiedBy/>
  <dcterms:modified xsi:type="dcterms:W3CDTF">2026-09-24T02:12:53Z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