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Curves" sheetId="3" state="visible" r:id="rId5"/>
    <sheet name="Discounting" sheetId="4" state="visible" r:id="rId6"/>
    <sheet name="The ledger" sheetId="5" state="visible" r:id="rId7"/>
    <sheet name="Two conventions" sheetId="6" state="visible" r:id="rId8"/>
    <sheet name="One agreement or two" sheetId="7" state="visible" r:id="rId9"/>
    <sheet name="Rate shock" sheetId="8" state="visible" r:id="rId10"/>
    <sheet name="Currency shock" sheetId="9" state="visible" r:id="rId11"/>
    <sheet name="Checks" sheetId="10" state="visible" r:id="rId12"/>
  </sheets>
  <definedNames>
    <definedName function="false" hidden="false" name="Ann" vbProcedure="false">Curves!$B$17</definedName>
    <definedName function="false" hidden="false" name="AnnCsa" vbProcedure="false">Curves!$B$18</definedName>
    <definedName function="false" hidden="false" name="BoFx" vbProcedure="false">Inputs!$B$31</definedName>
    <definedName function="false" hidden="false" name="BoIrs" vbProcedure="false">Inputs!$B$30</definedName>
    <definedName function="false" hidden="false" name="CapK" vbProcedure="false">Inputs!$B$41</definedName>
    <definedName function="false" hidden="false" name="Cash" vbProcedure="false">Inputs!$B$12</definedName>
    <definedName function="false" hidden="false" name="ComP" vbProcedure="false">Inputs!$D$48:$D$53</definedName>
    <definedName function="false" hidden="false" name="Cover" vbProcedure="false">Inputs!$B$29</definedName>
    <definedName function="false" hidden="false" name="CRf" vbProcedure="false">Inputs!$B$39</definedName>
    <definedName function="false" hidden="false" name="CsaSp" vbProcedure="false">Inputs!$B$33</definedName>
    <definedName function="false" hidden="false" name="CSpot" vbProcedure="false">Inputs!$B$38</definedName>
    <definedName function="false" hidden="false" name="Cva" vbProcedure="false">Inputs!$B$32</definedName>
    <definedName function="false" hidden="false" name="CVol" vbProcedure="false">Inputs!$B$40</definedName>
    <definedName function="false" hidden="false" name="Debt" vbProcedure="false">Inputs!$B$10</definedName>
    <definedName function="false" hidden="false" name="DFCSA" vbProcedure="false">Curves!$H$8:$H$12</definedName>
    <definedName function="false" hidden="false" name="DFG" vbProcedure="false">Curves!$D$8:$D$12</definedName>
    <definedName function="false" hidden="false" name="DFU" vbProcedure="false">Curves!$E$8:$E$12</definedName>
    <definedName function="false" hidden="false" name="Diff1" vbProcedure="false">Curves!$B$21</definedName>
    <definedName function="false" hidden="false" name="Ebitda" vbProcedure="false">Inputs!$B$8</definedName>
    <definedName function="false" hidden="false" name="Facility" vbProcedure="false">Inputs!$B$13</definedName>
    <definedName function="false" hidden="false" name="FloK" vbProcedure="false">Inputs!$B$42</definedName>
    <definedName function="false" hidden="false" name="Fwd1" vbProcedure="false">Curves!$B$22</definedName>
    <definedName function="false" hidden="false" name="FWDFX" vbProcedure="false">Curves!$F$8:$F$12</definedName>
    <definedName function="false" hidden="false" name="FWDIMP" vbProcedure="false">Curves!$G$8:$G$12</definedName>
    <definedName function="false" hidden="false" name="hDFG" vbProcedure="false">'The ledger'!$B$8:$B$12</definedName>
    <definedName function="false" hidden="false" name="hDFU" vbProcedure="false">'The ledger'!$C$8:$C$12</definedName>
    <definedName function="false" hidden="false" name="Headroom" vbProcedure="false">Curves!$B$25</definedName>
    <definedName function="false" hidden="false" name="Hedged" vbProcedure="false">Curves!$B$23</definedName>
    <definedName function="false" hidden="false" name="LibP" vbProcedure="false">Inputs!$C$48:$C$53</definedName>
    <definedName function="false" hidden="false" name="Notional" vbProcedure="false">Inputs!$B$11</definedName>
    <definedName function="false" hidden="false" name="Opened" vbProcedure="false">Curves!$B$24</definedName>
    <definedName function="false" hidden="false" name="ParG" vbProcedure="false">Inputs!$B$20:$B$24</definedName>
    <definedName function="false" hidden="false" name="ParU" vbProcedure="false">Inputs!$C$20:$C$24</definedName>
    <definedName function="false" hidden="false" name="Rev" vbProcedure="false">Inputs!$B$7</definedName>
    <definedName function="false" hidden="false" name="Spot" vbProcedure="false">Inputs!$B$18</definedName>
    <definedName function="false" hidden="false" name="SpotP" vbProcedure="false">Inputs!$B$48:$B$53</definedName>
    <definedName function="false" hidden="false" name="SwapMid" vbProcedure="false">Curves!$B$19</definedName>
    <definedName function="false" hidden="false" name="SwapPaid" vbProcedure="false">Curves!$B$20</definedName>
    <definedName function="false" hidden="false" name="Tonnes" vbProcedure="false">Inputs!$B$37</definedName>
    <definedName function="false" hidden="false" name="UsdSales" vbProcedure="false">Inputs!$B$9</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<sst xmlns="http://schemas.openxmlformats.org/spreadsheetml/2006/main" count="331" uniqueCount="262">
  <si>
    <t xml:space="preserve">Derivatives - The Collateral Ledger</t>
  </si>
  <si>
    <t xml:space="preserve">Companion workbook 4, by Julian R. Sterling</t>
  </si>
  <si>
    <t xml:space="preserve">What this workbook does</t>
  </si>
  <si>
    <t xml:space="preserve">It is the cash ledger of the hedging programme. Every position open at each closing date of the declared path is valued - the swap, and the currency book under the rolling and the locked policies - and the margin call that follows is computed under both date conventions, under one collateral agreement and under two, and against a rate shock ladder and an instantaneous currency shock ladder.</t>
  </si>
  <si>
    <t xml:space="preserve">The first experiment to run</t>
  </si>
  <si>
    <t xml:space="preserve">On the Two conventions sheet, read the two peaks of the locked policy. Before settlement it is 43,749,502 against 36,000,000 of liquidity - a shortfall of 7,749,502. After settlement it is 31,000,344, and 4,999,656 of cushion remains. Same path, same hedge, same day. Only the convention differs, and it is written down nowhere.</t>
  </si>
  <si>
    <t xml:space="preserve">The second</t>
  </si>
  <si>
    <t xml:space="preserve">On the Inputs sheet, take the committed undrawn facility to nought. Available liquidity falls to 11,000,000 and both conventions now conclude the same way. That single line - whether the facility can be drawn overnight to post margin - decides every break-even in the file, and it depends on the facility agreement.</t>
  </si>
  <si>
    <t xml:space="preserve">The third</t>
  </si>
  <si>
    <t xml:space="preserve">On the Rate shock sheet, the shock column is a choice rather than an assumption: it is the axis of a table. Walk it down to minus 300 basis points. The swap, the largest credit exposure of the three, calls for margin exactly when the economy is slowing - and it then adds to the currency call rather than netting against it.</t>
  </si>
  <si>
    <t xml:space="preserve">The one number to keep an eye on</t>
  </si>
  <si>
    <t xml:space="preserve">The ratio column on the Currency shock sheet. It runs from 4.43 to 4.50, not a constant and not five. The locked policy costs 35,179,321 of result against the rolling one and carries between four and five times the margin at equal movement. The tenor of a hedge decides its cash requirement before it decides its result.</t>
  </si>
  <si>
    <t xml:space="preserve">On the checks</t>
  </si>
  <si>
    <t xml:space="preserve">The Checks sheet reproduces by formula each figure printed in chapters 11 to 17. Column C is typed from the page; column D is computed here. If a check reads FAIL, the workbook is wrong, not the book.</t>
  </si>
  <si>
    <t xml:space="preserve">Revised 24 September 2026</t>
  </si>
  <si>
    <t xml:space="preserve">Nine checks added, forty-five in all. The unshocked swap on the Rate shock sheet sits 586 below the dealer spread of chapter 2 because the grid discounts at a flat 4.36 per cent, not the curve; chapter 15 put the gap down to a quarter of a year, which does not enter the formula. The rolling call at a 10 per cent fall is 11,564,696 of discounted currency loss plus the swap's 132,215, not the 12,000,000 discounted on its own. And the locked policy exhausts liquidity after a fall of 8.86 cents, not "before sterling has lost eight cents".</t>
  </si>
  <si>
    <t xml:space="preserve">Inputs - the Kilmartin Industrial fact pattern</t>
  </si>
  <si>
    <t xml:space="preserve">Blue on pale yellow is an input, and you may edit it. Everything else in this file is a formula over these cells.</t>
  </si>
  <si>
    <t xml:space="preserve">The company</t>
  </si>
  <si>
    <t xml:space="preserve">Revenue, sterling</t>
  </si>
  <si>
    <t xml:space="preserve">EBITDA</t>
  </si>
  <si>
    <t xml:space="preserve">Of which invoiced in dollars, in dollars</t>
  </si>
  <si>
    <t xml:space="preserve">Floating-rate debt</t>
  </si>
  <si>
    <t xml:space="preserve">Swap notional, five years, pays fixed</t>
  </si>
  <si>
    <t xml:space="preserve">Cash</t>
  </si>
  <si>
    <t xml:space="preserve">Committed undrawn facility</t>
  </si>
  <si>
    <t xml:space="preserve">The committed undrawn facility is treated as drawable overnight to post variation margin. That is the assumption that decides every break-even in this file, and it depends on the facility agreement.</t>
  </si>
  <si>
    <t xml:space="preserve">The two markets, on the day of the decision</t>
  </si>
  <si>
    <t xml:space="preserve">Spot, dollars per pound</t>
  </si>
  <si>
    <t xml:space="preserve">year</t>
  </si>
  <si>
    <t xml:space="preserve">GBP par rate</t>
  </si>
  <si>
    <t xml:space="preserve">USD par rate</t>
  </si>
  <si>
    <t xml:space="preserve">1 year</t>
  </si>
  <si>
    <t xml:space="preserve">2 years</t>
  </si>
  <si>
    <t xml:space="preserve">3 years</t>
  </si>
  <si>
    <t xml:space="preserve">4 years</t>
  </si>
  <si>
    <t xml:space="preserve">5 years</t>
  </si>
  <si>
    <t xml:space="preserve">Every discount factor in this file is bootstrapped from these ten rates on the Curves sheet, and the ten par bonds are re-priced to 1 there.</t>
  </si>
  <si>
    <t xml:space="preserve">The hedging programme, as decided</t>
  </si>
  <si>
    <t xml:space="preserve">Share of dollar sales sold forward</t>
  </si>
  <si>
    <t xml:space="preserve">Dealer spread on the swap fixed rate</t>
  </si>
  <si>
    <t xml:space="preserve">Currency bid and offer, on 1.2500</t>
  </si>
  <si>
    <t xml:space="preserve">Credit charge embedded in the rate</t>
  </si>
  <si>
    <t xml:space="preserve">Collateral rate, below the unsecured curve</t>
  </si>
  <si>
    <t xml:space="preserve">The commodity collar - Kilmartin consumes, so it buys the cap</t>
  </si>
  <si>
    <t xml:space="preserve">Tonnes consumed a year</t>
  </si>
  <si>
    <t xml:space="preserve">Spot, per tonne</t>
  </si>
  <si>
    <t xml:space="preserve">Rate used for the carry to one year</t>
  </si>
  <si>
    <t xml:space="preserve">Volatility</t>
  </si>
  <si>
    <t xml:space="preserve">Cap bought at</t>
  </si>
  <si>
    <t xml:space="preserve">Floor sold at</t>
  </si>
  <si>
    <t xml:space="preserve">The floor is not Kilmartin's protection; it is the leg it gives away. Its protection is the cap. Swap the two and the chapter reverses.</t>
  </si>
  <si>
    <t xml:space="preserve">The three declared paths - named scenarios, not simulations</t>
  </si>
  <si>
    <t xml:space="preserve">at the end of year</t>
  </si>
  <si>
    <t xml:space="preserve">spot USD/GBP</t>
  </si>
  <si>
    <t xml:space="preserve">floating rate</t>
  </si>
  <si>
    <t xml:space="preserve">commodity, per tonne</t>
  </si>
  <si>
    <t xml:space="preserve">t = 0</t>
  </si>
  <si>
    <t xml:space="preserve">t = 1</t>
  </si>
  <si>
    <t xml:space="preserve">t = 2</t>
  </si>
  <si>
    <t xml:space="preserve">t = 3</t>
  </si>
  <si>
    <t xml:space="preserve">t = 4</t>
  </si>
  <si>
    <t xml:space="preserve">t = 5</t>
  </si>
  <si>
    <t xml:space="preserve">These are choices, not facts about the markets. Replace them and every figure in the file is re-run on the path you prefer.</t>
  </si>
  <si>
    <t xml:space="preserve">Curves, bootstrapped</t>
  </si>
  <si>
    <t xml:space="preserve">Discount factors from par rates, and everything the rest of the file reads off them.</t>
  </si>
  <si>
    <t xml:space="preserve">The two curves</t>
  </si>
  <si>
    <t xml:space="preserve">GBP par</t>
  </si>
  <si>
    <t xml:space="preserve">USD par</t>
  </si>
  <si>
    <t xml:space="preserve">DF GBP</t>
  </si>
  <si>
    <t xml:space="preserve">DF USD</t>
  </si>
  <si>
    <t xml:space="preserve">forward USD/GBP</t>
  </si>
  <si>
    <t xml:space="preserve">implied forward rate</t>
  </si>
  <si>
    <t xml:space="preserve">DF at the collateral rate</t>
  </si>
  <si>
    <t xml:space="preserve">GBP par bond re-priced</t>
  </si>
  <si>
    <t xml:space="preserve">USD par bond re-priced</t>
  </si>
  <si>
    <t xml:space="preserve">The forwards rise with maturity because dollar rates are higher than sterling rates. A forward curve that fell would mean the reverse, and is the first thing to check.</t>
  </si>
  <si>
    <t xml:space="preserve">What the curves give the rest of the file</t>
  </si>
  <si>
    <t xml:space="preserve">Annuity, the five sterling discount factors</t>
  </si>
  <si>
    <t xml:space="preserve">The same annuity on the collateral curve</t>
  </si>
  <si>
    <t xml:space="preserve">Five-year swap rate, mid market</t>
  </si>
  <si>
    <t xml:space="preserve">Fixed rate paid, mid plus the dealer spread</t>
  </si>
  <si>
    <t xml:space="preserve">One-year rate differential, dollars over sterling</t>
  </si>
  <si>
    <t xml:space="preserve">Forward at one year</t>
  </si>
  <si>
    <t xml:space="preserve">Dollars sold forward each year</t>
  </si>
  <si>
    <t xml:space="preserve">Dollars left open each year</t>
  </si>
  <si>
    <t xml:space="preserve">Available liquidity</t>
  </si>
  <si>
    <t xml:space="preserve">The guards this sheet carries</t>
  </si>
  <si>
    <t xml:space="preserve">Every one of the ten par bonds re-priced, worst error against 1</t>
  </si>
  <si>
    <t xml:space="preserve">Five-year par rate less the mid swap rate</t>
  </si>
  <si>
    <t xml:space="preserve">Spot times the rate differential, less the one-year forward</t>
  </si>
  <si>
    <t xml:space="preserve">The floating leg, less 1 minus the five-year discount factor</t>
  </si>
  <si>
    <t xml:space="preserve">Four identities, each computed by a path that has nothing in common with the one that built the numbers. If any of them stops reading zero, the curve is wrong and so is everything downstream.</t>
  </si>
  <si>
    <t xml:space="preserve">The same cash flows, two values</t>
  </si>
  <si>
    <t xml:space="preserve">One curve without a collateral agreement, one with. The flows never change.</t>
  </si>
  <si>
    <t xml:space="preserve">The market rate the swap is valued at</t>
  </si>
  <si>
    <t xml:space="preserve">Annuity on the unsecured curve</t>
  </si>
  <si>
    <t xml:space="preserve">Annuity on the collateral curve, 15 basis points below</t>
  </si>
  <si>
    <t xml:space="preserve">The swap, discounted unsecured</t>
  </si>
  <si>
    <t xml:space="preserve">The swap, discounted at the collateral rate</t>
  </si>
  <si>
    <t xml:space="preserve">The difference</t>
  </si>
  <si>
    <t xml:space="preserve">The swap is worth more under a collateral agreement here, because it is in the company's favour and one discounts it less. That is not a valuer's subtlety: it is the size of a termination payment.</t>
  </si>
  <si>
    <t xml:space="preserve">The margin call arrives before the money</t>
  </si>
  <si>
    <t xml:space="preserve">Every position that is open at each closing date on the declared path, valued.</t>
  </si>
  <si>
    <t xml:space="preserve">Discount factors at the whole tenors the ledger needs</t>
  </si>
  <si>
    <t xml:space="preserve">years to run</t>
  </si>
  <si>
    <t xml:space="preserve">DF sterling</t>
  </si>
  <si>
    <t xml:space="preserve">DF dollar</t>
  </si>
  <si>
    <t xml:space="preserve">0 years</t>
  </si>
  <si>
    <t xml:space="preserve">The ledger, at each closing date of the declared path</t>
  </si>
  <si>
    <t xml:space="preserve">spot</t>
  </si>
  <si>
    <t xml:space="preserve">floating then ruling</t>
  </si>
  <si>
    <t xml:space="preserve">tenors left on the swap</t>
  </si>
  <si>
    <t xml:space="preserve">annuity</t>
  </si>
  <si>
    <t xml:space="preserve">swap mark to market</t>
  </si>
  <si>
    <t xml:space="preserve">currency, tenor 1</t>
  </si>
  <si>
    <t xml:space="preserve">tenor 2</t>
  </si>
  <si>
    <t xml:space="preserve">tenor 3</t>
  </si>
  <si>
    <t xml:space="preserve">tenor 4</t>
  </si>
  <si>
    <t xml:space="preserve">tenor 5</t>
  </si>
  <si>
    <t xml:space="preserve">currency, locked, before settlement</t>
  </si>
  <si>
    <t xml:space="preserve">currency, locked, after settlement</t>
  </si>
  <si>
    <t xml:space="preserve">currency, rolling, before settlement</t>
  </si>
  <si>
    <t xml:space="preserve">margin call, rolling</t>
  </si>
  <si>
    <t xml:space="preserve">margin call, locked, before settlement</t>
  </si>
  <si>
    <t xml:space="preserve">margin call, locked, after settlement</t>
  </si>
  <si>
    <t xml:space="preserve">year 1</t>
  </si>
  <si>
    <t xml:space="preserve">year 2</t>
  </si>
  <si>
    <t xml:space="preserve">year 3</t>
  </si>
  <si>
    <t xml:space="preserve">year 4</t>
  </si>
  <si>
    <t xml:space="preserve">year 5</t>
  </si>
  <si>
    <t xml:space="preserve">The swap's mark to market is positive from year one to year three: on this path rates rise when sterling falls. The swap therefore damps the call, and it damps it most in year two - which is exactly the year of the peak.</t>
  </si>
  <si>
    <t xml:space="preserve">Two conventions, two opposite answers</t>
  </si>
  <si>
    <t xml:space="preserve">Whether the tenor settling on the day of the test is still collateralised.</t>
  </si>
  <si>
    <t xml:space="preserve">Available liquidity, cash and the committed facility</t>
  </si>
  <si>
    <t xml:space="preserve">Peak of the rolling policy</t>
  </si>
  <si>
    <t xml:space="preserve">Cushion left, rolling</t>
  </si>
  <si>
    <t xml:space="preserve">Peak of the locked policy, before settlement</t>
  </si>
  <si>
    <t xml:space="preserve">Cushion left, locked, before settlement</t>
  </si>
  <si>
    <t xml:space="preserve">Peak of the locked policy, after settlement</t>
  </si>
  <si>
    <t xml:space="preserve">Cushion left, locked, after settlement</t>
  </si>
  <si>
    <t xml:space="preserve">By how much the locked policy exceeds available liquidity</t>
  </si>
  <si>
    <t xml:space="preserve">And what is left once the tenor has been delivered</t>
  </si>
  <si>
    <t xml:space="preserve">The year the peak falls in</t>
  </si>
  <si>
    <t xml:space="preserve">Before settlement the tenor maturing that day is still open and its loss is still called in margin. After it, the collateral is returned. The question "would we have held?" has no single answer: it has the answer of a date convention that appears in no board paper.</t>
  </si>
  <si>
    <t xml:space="preserve">Netting is a treasury decision nobody presents as one</t>
  </si>
  <si>
    <t xml:space="preserve">The same two hedges, under one collateral agreement and under two.</t>
  </si>
  <si>
    <t xml:space="preserve">At the peak year</t>
  </si>
  <si>
    <t xml:space="preserve">The currency position, marked</t>
  </si>
  <si>
    <t xml:space="preserve">The swap, marked</t>
  </si>
  <si>
    <t xml:space="preserve">Under one collateral agreement, the two net</t>
  </si>
  <si>
    <t xml:space="preserve">Under two, they do not</t>
  </si>
  <si>
    <t xml:space="preserve">What the netting is worth on the worst day</t>
  </si>
  <si>
    <t xml:space="preserve">The number of counterparties is a treasury decision, and nobody presents it as one. Two hedges under the same agreement net against each other; under two agreements they do not.</t>
  </si>
  <si>
    <t xml:space="preserve">The shock that runs the other way</t>
  </si>
  <si>
    <t xml:space="preserve">The swap is the largest credit exposure of the three, and a fall in rates turns it.</t>
  </si>
  <si>
    <t xml:space="preserve">The first column is a choice, not an assumption: it is the axis of a table. Everything to its right is a complete re-valuation of the swap.</t>
  </si>
  <si>
    <t xml:space="preserve">rate shock</t>
  </si>
  <si>
    <t xml:space="preserve">in basis points</t>
  </si>
  <si>
    <t xml:space="preserve">market rate</t>
  </si>
  <si>
    <t xml:space="preserve">the swap, marked</t>
  </si>
  <si>
    <t xml:space="preserve">margin call</t>
  </si>
  <si>
    <t xml:space="preserve">shock 1</t>
  </si>
  <si>
    <t xml:space="preserve">shock 2</t>
  </si>
  <si>
    <t xml:space="preserve">shock 3</t>
  </si>
  <si>
    <t xml:space="preserve">shock 4</t>
  </si>
  <si>
    <t xml:space="preserve">shock 5</t>
  </si>
  <si>
    <t xml:space="preserve">A fall of 200 basis points costs 11,335,005 of margin on the swap alone, and it arrives when the economy slows - which is when the company can least afford it. Currency and rates then stop netting and start adding up.</t>
  </si>
  <si>
    <t xml:space="preserve">The unshocked row, against the dealer spread</t>
  </si>
  <si>
    <t xml:space="preserve">Annuity at a flat 4.36 per cent, as the grid discounts</t>
  </si>
  <si>
    <t xml:space="preserve">Annuity on the bootstrapped curve</t>
  </si>
  <si>
    <t xml:space="preserve">The dealer spread on the curve (chapter 2)</t>
  </si>
  <si>
    <t xml:space="preserve">The dealer spread at the flat rate: the unshocked row</t>
  </si>
  <si>
    <t xml:space="preserve">The gap, all of it the discounting basis</t>
  </si>
  <si>
    <t xml:space="preserve">Loss at minus 200 less gain at plus 200</t>
  </si>
  <si>
    <t xml:space="preserve">Loss at minus 100 less gain at plus 100</t>
  </si>
  <si>
    <t xml:space="preserve">Minus 200 against twice minus 100</t>
  </si>
  <si>
    <t xml:space="preserve">The call at minus 200, against available liquidity</t>
  </si>
  <si>
    <t xml:space="preserve">Chapter 15 put the 586 down to the quarter of a year between the two readings. The swap is marked on whole remaining tenors, so that quarter does not enter the formula: the gap is the flat five-year rate against the bootstrapped curve, as chapter 9 says.</t>
  </si>
  <si>
    <t xml:space="preserve">The instantaneous shock, and why tenor is the variable</t>
  </si>
  <si>
    <t xml:space="preserve">If sterling broke at the start, with every tenor still open.</t>
  </si>
  <si>
    <t xml:space="preserve">The five tenors a locked programme carries, a quarter of a year in</t>
  </si>
  <si>
    <t xml:space="preserve">tenor</t>
  </si>
  <si>
    <t xml:space="preserve">forward struck</t>
  </si>
  <si>
    <t xml:space="preserve">the fixed part of the value</t>
  </si>
  <si>
    <t xml:space="preserve">the part that moves with spot</t>
  </si>
  <si>
    <t xml:space="preserve">tenor 1</t>
  </si>
  <si>
    <t xml:space="preserve">The swap, marked a quarter of a year in, on the unshocked curve</t>
  </si>
  <si>
    <t xml:space="preserve">A rolling programme carries the first of these tenors and nothing else. A locked one carries all five. That is the whole of the difference between the two columns below.</t>
  </si>
  <si>
    <t xml:space="preserve">And what a sudden fall in sterling would call for</t>
  </si>
  <si>
    <t xml:space="preserve">fall in sterling</t>
  </si>
  <si>
    <t xml:space="preserve">the fall</t>
  </si>
  <si>
    <t xml:space="preserve">currency, rolling</t>
  </si>
  <si>
    <t xml:space="preserve">currency, locked</t>
  </si>
  <si>
    <t xml:space="preserve">margin call, locked</t>
  </si>
  <si>
    <t xml:space="preserve">the ratio</t>
  </si>
  <si>
    <t xml:space="preserve">the quarter's commercial gain</t>
  </si>
  <si>
    <t xml:space="preserve">The two liquidity break-evens, in closed form</t>
  </si>
  <si>
    <t xml:space="preserve">The spot at which the rolling policy exhausts available liquidity</t>
  </si>
  <si>
    <t xml:space="preserve">The fall that represents</t>
  </si>
  <si>
    <t xml:space="preserve">The spot at which the locked policy exhausts it</t>
  </si>
  <si>
    <t xml:space="preserve">The ratio between the two policies, at its lowest</t>
  </si>
  <si>
    <t xml:space="preserve">And at its highest</t>
  </si>
  <si>
    <t xml:space="preserve">The ratio is not a constant: it runs from 4.43 to 4.50 with the size of the shock, because currency is not linear in rates - one hedges dollars and banks pounds, and the inverse of a sum is not the sum of the inverses. Writing "five times more" would be convenient and wrong.</t>
  </si>
  <si>
    <t xml:space="preserve">The rolling call at a 10 per cent fall, taken apart</t>
  </si>
  <si>
    <t xml:space="preserve">The loss on 135,000,000 dollars at 1.1250 against 1.2500, undiscounted</t>
  </si>
  <si>
    <t xml:space="preserve">The same loss, on the tenor's dollar discount factor</t>
  </si>
  <si>
    <t xml:space="preserve">The swap under the same agreement, marked at its dealer spread</t>
  </si>
  <si>
    <t xml:space="preserve">Margin call, rolling, at a 10 per cent fall</t>
  </si>
  <si>
    <t xml:space="preserve">How far sterling falls, in cents, before the locked policy exhausts liquidity</t>
  </si>
  <si>
    <t xml:space="preserve">The same for the rolling policy</t>
  </si>
  <si>
    <t xml:space="preserve">The rolling break-even fall over the locked one</t>
  </si>
  <si>
    <t xml:space="preserve">Chapter 16 says the 12,000,000 becomes 11,696,910 because the loss settles at the tenor's maturity. Discounting takes it down, to 11,564,696; the other 132,215 is the swap, which owes its dealer spread from the first day.</t>
  </si>
  <si>
    <t xml:space="preserve">Checks</t>
  </si>
  <si>
    <t xml:space="preserve">Each line sets a figure printed in the book beside the figure this workbook computes.</t>
  </si>
  <si>
    <t xml:space="preserve">Column C is typed from the page. Column D is a live formula over the inputs. If they disagree the check says FAIL, and it is the workbook that is wrong.</t>
  </si>
  <si>
    <t xml:space="preserve">Ch.</t>
  </si>
  <si>
    <t xml:space="preserve">Figure</t>
  </si>
  <si>
    <t xml:space="preserve">Printed</t>
  </si>
  <si>
    <t xml:space="preserve">Workbook</t>
  </si>
  <si>
    <t xml:space="preserve">Difference</t>
  </si>
  <si>
    <t xml:space="preserve">Result</t>
  </si>
  <si>
    <t xml:space="preserve">11</t>
  </si>
  <si>
    <t xml:space="preserve">The difference the discounting curve makes</t>
  </si>
  <si>
    <t xml:space="preserve">12</t>
  </si>
  <si>
    <t xml:space="preserve">Swap mark to market, end of year one</t>
  </si>
  <si>
    <t xml:space="preserve">Swap mark to market, end of year two</t>
  </si>
  <si>
    <t xml:space="preserve">Swap mark to market, end of year three</t>
  </si>
  <si>
    <t xml:space="preserve">Swap mark to market, end of year four</t>
  </si>
  <si>
    <t xml:space="preserve">Swap mark to market, end of year five</t>
  </si>
  <si>
    <t xml:space="preserve">Margin call, rolling policy, year one</t>
  </si>
  <si>
    <t xml:space="preserve">Margin call, locked policy, year one</t>
  </si>
  <si>
    <t xml:space="preserve">Margin call, locked policy, year two</t>
  </si>
  <si>
    <t xml:space="preserve">Margin call, locked policy, year three</t>
  </si>
  <si>
    <t xml:space="preserve">Margin call, locked policy, year four</t>
  </si>
  <si>
    <t xml:space="preserve">Margin call, locked policy, year five</t>
  </si>
  <si>
    <t xml:space="preserve">13</t>
  </si>
  <si>
    <t xml:space="preserve">By how much the locked policy exceeds liquidity</t>
  </si>
  <si>
    <t xml:space="preserve">14</t>
  </si>
  <si>
    <t xml:space="preserve">The same day, under two collateral agreements</t>
  </si>
  <si>
    <t xml:space="preserve">15</t>
  </si>
  <si>
    <t xml:space="preserve">The swap, marked, at minus 200 basis points</t>
  </si>
  <si>
    <t xml:space="preserve">The swap, marked, at minus 100 basis points</t>
  </si>
  <si>
    <t xml:space="preserve">The swap, marked, unshocked</t>
  </si>
  <si>
    <t xml:space="preserve">The swap, marked, at plus 100 basis points</t>
  </si>
  <si>
    <t xml:space="preserve">The swap, marked, at plus 200 basis points</t>
  </si>
  <si>
    <t xml:space="preserve">16</t>
  </si>
  <si>
    <t xml:space="preserve">Margin call, rolling, on a 10 per cent fall</t>
  </si>
  <si>
    <t xml:space="preserve">Margin call, locked, on a 10 per cent fall</t>
  </si>
  <si>
    <t xml:space="preserve">The ratio between them, on a 10 per cent fall</t>
  </si>
  <si>
    <t xml:space="preserve">The quarter's commercial gain, on a 20 per cent fall</t>
  </si>
  <si>
    <t xml:space="preserve">The spot at which the rolling policy exhausts liquidity</t>
  </si>
  <si>
    <t xml:space="preserve">17</t>
  </si>
  <si>
    <t xml:space="preserve">Unshocked swap against the dealer spread: the gap is the flat rate against the curve</t>
  </si>
  <si>
    <t xml:space="preserve">Loss at minus 100 less gain at plus 100 (the book subtracts the rounded marks)</t>
  </si>
  <si>
    <t xml:space="preserve">Minus 200 against twice minus 100 (the book subtracts the rounded marks)</t>
  </si>
  <si>
    <t xml:space="preserve">The call at minus 200 against available liquidity</t>
  </si>
  <si>
    <t xml:space="preserve">The rolling loss at a 10 per cent fall, undiscounted</t>
  </si>
  <si>
    <t xml:space="preserve">The same loss discounted (new: the book gives only the call)</t>
  </si>
  <si>
    <t xml:space="preserve">Cents of fall before the locked policy exhausts liquidity (revised: "before eight cents")</t>
  </si>
  <si>
    <t xml:space="preserve">Checks that pass</t>
  </si>
  <si>
    <t xml:space="preserve">Checks that fail</t>
  </si>
</sst>
</file>

<file path=xl/styles.xml><?xml version="1.0" encoding="utf-8"?>
<styleSheet xmlns="http://schemas.openxmlformats.org/spreadsheetml/2006/main">
  <numFmts count="17">
    <numFmt numFmtId="164" formatCode="General"/>
    <numFmt numFmtId="165" formatCode="#,##0;\-#,##0"/>
    <numFmt numFmtId="166" formatCode="0.0000"/>
    <numFmt numFmtId="167" formatCode="0.0000%;\-0.0000%"/>
    <numFmt numFmtId="168" formatCode="0.00%;\-0.00%"/>
    <numFmt numFmtId="169" formatCode="#,##0"/>
    <numFmt numFmtId="170" formatCode="#,##0.00;\-#,##0.00"/>
    <numFmt numFmtId="171" formatCode="0.000000"/>
    <numFmt numFmtId="172" formatCode="0.0000000000"/>
    <numFmt numFmtId="173" formatCode="0"/>
    <numFmt numFmtId="174" formatCode="0.0%;\-0.0%"/>
    <numFmt numFmtId="175" formatCode="0.00%"/>
    <numFmt numFmtId="176" formatCode="0.00"/>
    <numFmt numFmtId="177" formatCode="0.00\x"/>
    <numFmt numFmtId="178" formatCode="0.00000000"/>
    <numFmt numFmtId="179" formatCode="@"/>
    <numFmt numFmtId="180" formatCode="0.0000%"/>
  </numFmts>
  <fonts count="12">
    <font>
      <sz val="11"/>
      <color theme="1"/>
      <name val="Calibri"/>
      <family val="2"/>
      <charset val="1"/>
    </font>
    <font>
      <sz val="10"/>
      <name val="Arial"/>
      <family val="0"/>
    </font>
    <font>
      <sz val="10"/>
      <name val="Arial"/>
      <family val="0"/>
    </font>
    <font>
      <sz val="10"/>
      <name val="Arial"/>
      <family val="0"/>
    </font>
    <font>
      <b val="true"/>
      <sz val="16"/>
      <color rgb="FF1F4E5F"/>
      <name val="Calibri"/>
      <family val="0"/>
      <charset val="1"/>
    </font>
    <font>
      <i val="true"/>
      <sz val="10"/>
      <color rgb="FF5A6A70"/>
      <name val="Calibri"/>
      <family val="0"/>
      <charset val="1"/>
    </font>
    <font>
      <b val="true"/>
      <sz val="12"/>
      <color rgb="FF1F4E5F"/>
      <name val="Calibri"/>
      <family val="0"/>
      <charset val="1"/>
    </font>
    <font>
      <sz val="11"/>
      <color rgb="FF1A1A1A"/>
      <name val="Calibri"/>
      <family val="0"/>
      <charset val="1"/>
    </font>
    <font>
      <b val="true"/>
      <sz val="11"/>
      <color rgb="FF0B4FA0"/>
      <name val="Calibri"/>
      <family val="0"/>
      <charset val="1"/>
    </font>
    <font>
      <i val="true"/>
      <sz val="9"/>
      <color rgb="FF5A6A70"/>
      <name val="Calibri"/>
      <family val="0"/>
      <charset val="1"/>
    </font>
    <font>
      <b val="true"/>
      <sz val="10"/>
      <color rgb="FFFFFFFF"/>
      <name val="Calibri"/>
      <family val="0"/>
      <charset val="1"/>
    </font>
    <font>
      <b val="true"/>
      <sz val="11"/>
      <color rgb="FF1A1A1A"/>
      <name val="Calibri"/>
      <family val="0"/>
      <charset val="1"/>
    </font>
  </fonts>
  <fills count="5">
    <fill>
      <patternFill patternType="none"/>
    </fill>
    <fill>
      <patternFill patternType="gray125"/>
    </fill>
    <fill>
      <patternFill patternType="solid">
        <fgColor rgb="FFFFF6D8"/>
        <bgColor rgb="FFF2F5F7"/>
      </patternFill>
    </fill>
    <fill>
      <patternFill patternType="solid">
        <fgColor rgb="FF1F4E5F"/>
        <bgColor rgb="FF0B4FA0"/>
      </patternFill>
    </fill>
    <fill>
      <patternFill patternType="solid">
        <fgColor rgb="FFF2F5F7"/>
        <bgColor rgb="FFFFFFFF"/>
      </patternFill>
    </fill>
  </fills>
  <borders count="4">
    <border diagonalUp="false" diagonalDown="false">
      <left/>
      <right/>
      <top/>
      <bottom/>
      <diagonal/>
    </border>
    <border diagonalUp="false" diagonalDown="false">
      <left/>
      <right/>
      <top/>
      <bottom style="medium">
        <color rgb="FF1F4E5F"/>
      </bottom>
      <diagonal/>
    </border>
    <border diagonalUp="false" diagonalDown="false">
      <left/>
      <right/>
      <top/>
      <bottom style="thin">
        <color rgb="FFBFC8CC"/>
      </bottom>
      <diagonal/>
    </border>
    <border diagonalUp="false" diagonalDown="false">
      <left style="thin">
        <color rgb="FFBFC8CC"/>
      </left>
      <right style="thin">
        <color rgb="FFBFC8CC"/>
      </right>
      <top style="thin">
        <color rgb="FFBFC8CC"/>
      </top>
      <bottom style="thin">
        <color rgb="FFBFC8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6" fillId="0" borderId="2" xfId="0" applyFont="tru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2" borderId="3"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6" fontId="8" fillId="2" borderId="3" xfId="0" applyFont="true" applyBorder="true" applyAlignment="false" applyProtection="false">
      <alignment horizontal="general" vertical="bottom" textRotation="0" wrapText="false" indent="0" shrinkToFit="false"/>
      <protection locked="true" hidden="false"/>
    </xf>
    <xf numFmtId="164" fontId="10" fillId="3" borderId="3" xfId="0" applyFont="true" applyBorder="true" applyAlignment="true" applyProtection="false">
      <alignment horizontal="left" vertical="center" textRotation="0" wrapText="true" indent="0" shrinkToFit="false"/>
      <protection locked="true" hidden="false"/>
    </xf>
    <xf numFmtId="164" fontId="10" fillId="3" borderId="3" xfId="0" applyFont="true" applyBorder="true" applyAlignment="true" applyProtection="false">
      <alignment horizontal="right" vertical="center" textRotation="0" wrapText="true" indent="0" shrinkToFit="false"/>
      <protection locked="true" hidden="false"/>
    </xf>
    <xf numFmtId="167" fontId="8" fillId="2" borderId="3" xfId="0" applyFont="true" applyBorder="true" applyAlignment="false" applyProtection="false">
      <alignment horizontal="general" vertical="bottom" textRotation="0" wrapText="false" indent="0" shrinkToFit="false"/>
      <protection locked="true" hidden="false"/>
    </xf>
    <xf numFmtId="168" fontId="8" fillId="2" borderId="3" xfId="0" applyFont="true" applyBorder="true" applyAlignment="false" applyProtection="false">
      <alignment horizontal="general" vertical="bottom" textRotation="0" wrapText="false" indent="0" shrinkToFit="false"/>
      <protection locked="true" hidden="false"/>
    </xf>
    <xf numFmtId="169" fontId="8" fillId="2" borderId="3" xfId="0" applyFont="true" applyBorder="true" applyAlignment="false" applyProtection="false">
      <alignment horizontal="general" vertical="bottom" textRotation="0" wrapText="false" indent="0" shrinkToFit="false"/>
      <protection locked="true" hidden="false"/>
    </xf>
    <xf numFmtId="170" fontId="8" fillId="2" borderId="3" xfId="0" applyFont="true" applyBorder="true" applyAlignment="false" applyProtection="false">
      <alignment horizontal="general" vertical="bottom" textRotation="0" wrapText="false" indent="0" shrinkToFit="false"/>
      <protection locked="true" hidden="false"/>
    </xf>
    <xf numFmtId="167" fontId="7" fillId="0" borderId="0" xfId="0" applyFont="true" applyBorder="false" applyAlignment="false" applyProtection="false">
      <alignment horizontal="general" vertical="bottom" textRotation="0" wrapText="false" indent="0" shrinkToFit="false"/>
      <protection locked="true" hidden="false"/>
    </xf>
    <xf numFmtId="171"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67" fontId="7" fillId="4" borderId="0" xfId="0" applyFont="true" applyBorder="false" applyAlignment="false" applyProtection="false">
      <alignment horizontal="general" vertical="bottom" textRotation="0" wrapText="false" indent="0" shrinkToFit="false"/>
      <protection locked="true" hidden="false"/>
    </xf>
    <xf numFmtId="171" fontId="7" fillId="4" borderId="0" xfId="0" applyFont="true" applyBorder="false" applyAlignment="false" applyProtection="false">
      <alignment horizontal="general" vertical="bottom" textRotation="0" wrapText="false" indent="0" shrinkToFit="false"/>
      <protection locked="true" hidden="false"/>
    </xf>
    <xf numFmtId="166" fontId="7" fillId="4"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72" fontId="7" fillId="0" borderId="0" xfId="0" applyFont="true" applyBorder="false" applyAlignment="false" applyProtection="false">
      <alignment horizontal="general" vertical="bottom" textRotation="0" wrapText="false" indent="0" shrinkToFit="false"/>
      <protection locked="true" hidden="false"/>
    </xf>
    <xf numFmtId="173" fontId="7" fillId="0" borderId="0" xfId="0" applyFont="true" applyBorder="false" applyAlignment="false" applyProtection="false">
      <alignment horizontal="general" vertical="bottom" textRotation="0" wrapText="false" indent="0" shrinkToFit="false"/>
      <protection locked="true" hidden="false"/>
    </xf>
    <xf numFmtId="173" fontId="7" fillId="4"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74" fontId="7" fillId="0" borderId="0" xfId="0" applyFont="true" applyBorder="false" applyAlignment="false" applyProtection="false">
      <alignment horizontal="general" vertical="bottom" textRotation="0" wrapText="false" indent="0" shrinkToFit="false"/>
      <protection locked="true" hidden="false"/>
    </xf>
    <xf numFmtId="168" fontId="8" fillId="2" borderId="3" xfId="0" applyFont="true" applyBorder="true" applyAlignment="true" applyProtection="false">
      <alignment horizontal="right" vertical="bottom" textRotation="0" wrapText="false" indent="0" shrinkToFit="false"/>
      <protection locked="true" hidden="false"/>
    </xf>
    <xf numFmtId="168" fontId="8" fillId="4" borderId="3" xfId="0" applyFont="true" applyBorder="true" applyAlignment="true" applyProtection="false">
      <alignment horizontal="right" vertical="bottom" textRotation="0" wrapText="false" indent="0" shrinkToFit="false"/>
      <protection locked="true" hidden="false"/>
    </xf>
    <xf numFmtId="164" fontId="6" fillId="0" borderId="3" xfId="0" applyFont="true" applyBorder="true" applyAlignment="true" applyProtection="false">
      <alignment horizontal="left" vertical="center" textRotation="0" wrapText="true" indent="0" shrinkToFit="false"/>
      <protection locked="true" hidden="false"/>
    </xf>
    <xf numFmtId="175" fontId="7" fillId="0" borderId="0" xfId="0" applyFont="true" applyBorder="false" applyAlignment="false" applyProtection="false">
      <alignment horizontal="general" vertical="bottom" textRotation="0" wrapText="false" indent="0" shrinkToFit="false"/>
      <protection locked="true" hidden="false"/>
    </xf>
    <xf numFmtId="176" fontId="7" fillId="0" borderId="0" xfId="0" applyFont="true" applyBorder="false" applyAlignment="false" applyProtection="false">
      <alignment horizontal="general" vertical="bottom" textRotation="0" wrapText="false" indent="0" shrinkToFit="false"/>
      <protection locked="true" hidden="false"/>
    </xf>
    <xf numFmtId="176" fontId="7" fillId="4" borderId="0" xfId="0" applyFont="true" applyBorder="false" applyAlignment="false" applyProtection="false">
      <alignment horizontal="general" vertical="bottom" textRotation="0" wrapText="false" indent="0" shrinkToFit="false"/>
      <protection locked="true" hidden="false"/>
    </xf>
    <xf numFmtId="174" fontId="8" fillId="2" borderId="3" xfId="0" applyFont="true" applyBorder="true" applyAlignment="true" applyProtection="false">
      <alignment horizontal="right" vertical="bottom" textRotation="0" wrapText="false" indent="0" shrinkToFit="false"/>
      <protection locked="true" hidden="false"/>
    </xf>
    <xf numFmtId="177" fontId="7" fillId="0" borderId="0" xfId="0" applyFont="true" applyBorder="false" applyAlignment="false" applyProtection="false">
      <alignment horizontal="general" vertical="bottom" textRotation="0" wrapText="false" indent="0" shrinkToFit="false"/>
      <protection locked="true" hidden="false"/>
    </xf>
    <xf numFmtId="174" fontId="8" fillId="4" borderId="3" xfId="0" applyFont="true" applyBorder="true" applyAlignment="true" applyProtection="false">
      <alignment horizontal="right" vertical="bottom" textRotation="0" wrapText="false" indent="0" shrinkToFit="false"/>
      <protection locked="true" hidden="false"/>
    </xf>
    <xf numFmtId="177" fontId="7" fillId="4" borderId="0" xfId="0" applyFont="true" applyBorder="false" applyAlignment="false" applyProtection="false">
      <alignment horizontal="general" vertical="bottom" textRotation="0" wrapText="false" indent="0" shrinkToFit="false"/>
      <protection locked="true" hidden="false"/>
    </xf>
    <xf numFmtId="168" fontId="7" fillId="0" borderId="0" xfId="0" applyFont="true" applyBorder="false" applyAlignment="false" applyProtection="false">
      <alignment horizontal="general" vertical="bottom" textRotation="0" wrapText="false" indent="0" shrinkToFit="false"/>
      <protection locked="true" hidden="false"/>
    </xf>
    <xf numFmtId="178" fontId="7" fillId="0" borderId="0" xfId="0" applyFont="true" applyBorder="false" applyAlignment="false" applyProtection="false">
      <alignment horizontal="general" vertical="bottom" textRotation="0" wrapText="false" indent="0" shrinkToFit="false"/>
      <protection locked="true" hidden="false"/>
    </xf>
    <xf numFmtId="179" fontId="11" fillId="0" borderId="0" xfId="0" applyFont="true" applyBorder="false" applyAlignment="false" applyProtection="false">
      <alignment horizontal="general" vertical="bottom" textRotation="0" wrapText="false" indent="0" shrinkToFit="false"/>
      <protection locked="true" hidden="false"/>
    </xf>
    <xf numFmtId="178" fontId="7" fillId="4" borderId="0" xfId="0" applyFont="true" applyBorder="false" applyAlignment="false" applyProtection="false">
      <alignment horizontal="general" vertical="bottom" textRotation="0" wrapText="false" indent="0" shrinkToFit="false"/>
      <protection locked="true" hidden="false"/>
    </xf>
    <xf numFmtId="179" fontId="11" fillId="4" borderId="0" xfId="0" applyFont="true" applyBorder="false" applyAlignment="false" applyProtection="false">
      <alignment horizontal="general" vertical="bottom" textRotation="0" wrapText="false" indent="0" shrinkToFit="false"/>
      <protection locked="true" hidden="false"/>
    </xf>
    <xf numFmtId="168" fontId="7" fillId="4" borderId="0" xfId="0" applyFont="true" applyBorder="false" applyAlignment="false" applyProtection="false">
      <alignment horizontal="general" vertical="bottom" textRotation="0" wrapText="false" indent="0" shrinkToFit="false"/>
      <protection locked="true" hidden="false"/>
    </xf>
    <xf numFmtId="169" fontId="7" fillId="4" borderId="0" xfId="0" applyFont="true" applyBorder="false" applyAlignment="false" applyProtection="false">
      <alignment horizontal="general" vertical="bottom" textRotation="0" wrapText="false" indent="0" shrinkToFit="false"/>
      <protection locked="true" hidden="false"/>
    </xf>
    <xf numFmtId="169" fontId="7" fillId="0" borderId="0" xfId="0" applyFont="true" applyBorder="false" applyAlignment="false" applyProtection="false">
      <alignment horizontal="general" vertical="bottom" textRotation="0" wrapText="false" indent="0" shrinkToFit="false"/>
      <protection locked="true" hidden="false"/>
    </xf>
    <xf numFmtId="180" fontId="7" fillId="4"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73" fontId="11"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C8CC"/>
      <rgbColor rgb="FF808080"/>
      <rgbColor rgb="FF9999FF"/>
      <rgbColor rgb="FF993366"/>
      <rgbColor rgb="FFFFF6D8"/>
      <rgbColor rgb="FFF2F5F7"/>
      <rgbColor rgb="FF660066"/>
      <rgbColor rgb="FFFF8080"/>
      <rgbColor rgb="FF0B4FA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A70"/>
      <rgbColor rgb="FF969696"/>
      <rgbColor rgb="FF1F4E5F"/>
      <rgbColor rgb="FF339966"/>
      <rgbColor rgb="FF003300"/>
      <rgbColor rgb="FF333300"/>
      <rgbColor rgb="FF993300"/>
      <rgbColor rgb="FF993366"/>
      <rgbColor rgb="FF333399"/>
      <rgbColor rgb="FF1A1A1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2"/>
  </cols>
  <sheetData>
    <row r="1" customFormat="false" ht="24" hidden="false" customHeight="true" outlineLevel="0" collapsed="false">
      <c r="A1" s="1" t="s">
        <v>0</v>
      </c>
    </row>
    <row r="2" customFormat="false" ht="15" hidden="false" customHeight="false" outlineLevel="0" collapsed="false">
      <c r="A2" s="2" t="s">
        <v>1</v>
      </c>
    </row>
    <row r="3" customFormat="false" ht="15" hidden="false" customHeight="false" outlineLevel="0" collapsed="false">
      <c r="A3" s="3"/>
    </row>
    <row r="5" customFormat="false" ht="15" hidden="false" customHeight="false" outlineLevel="0" collapsed="false">
      <c r="A5" s="4" t="s">
        <v>2</v>
      </c>
    </row>
    <row r="7" customFormat="false" ht="60" hidden="false" customHeight="true" outlineLevel="0" collapsed="false">
      <c r="A7" s="5" t="s">
        <v>3</v>
      </c>
    </row>
    <row r="9" customFormat="false" ht="15" hidden="false" customHeight="false" outlineLevel="0" collapsed="false">
      <c r="A9" s="4" t="s">
        <v>4</v>
      </c>
    </row>
    <row r="11" customFormat="false" ht="60" hidden="false" customHeight="true" outlineLevel="0" collapsed="false">
      <c r="A11" s="5" t="s">
        <v>5</v>
      </c>
    </row>
    <row r="13" customFormat="false" ht="15" hidden="false" customHeight="false" outlineLevel="0" collapsed="false">
      <c r="A13" s="4" t="s">
        <v>6</v>
      </c>
    </row>
    <row r="15" customFormat="false" ht="45" hidden="false" customHeight="true" outlineLevel="0" collapsed="false">
      <c r="A15" s="5" t="s">
        <v>7</v>
      </c>
    </row>
    <row r="17" customFormat="false" ht="15" hidden="false" customHeight="false" outlineLevel="0" collapsed="false">
      <c r="A17" s="4" t="s">
        <v>8</v>
      </c>
    </row>
    <row r="19" customFormat="false" ht="60" hidden="false" customHeight="true" outlineLevel="0" collapsed="false">
      <c r="A19" s="5" t="s">
        <v>9</v>
      </c>
    </row>
    <row r="21" customFormat="false" ht="15" hidden="false" customHeight="false" outlineLevel="0" collapsed="false">
      <c r="A21" s="4" t="s">
        <v>10</v>
      </c>
    </row>
    <row r="23" customFormat="false" ht="45" hidden="false" customHeight="true" outlineLevel="0" collapsed="false">
      <c r="A23" s="5" t="s">
        <v>11</v>
      </c>
    </row>
    <row r="25" customFormat="false" ht="15" hidden="false" customHeight="false" outlineLevel="0" collapsed="false">
      <c r="A25" s="4" t="s">
        <v>12</v>
      </c>
    </row>
    <row r="27" customFormat="false" ht="30" hidden="false" customHeight="true" outlineLevel="0" collapsed="false">
      <c r="A27" s="5" t="s">
        <v>13</v>
      </c>
    </row>
    <row r="29" customFormat="false" ht="15" hidden="false" customHeight="false" outlineLevel="0" collapsed="false">
      <c r="A29" s="4" t="s">
        <v>14</v>
      </c>
    </row>
    <row r="31" customFormat="false" ht="105" hidden="false" customHeight="true" outlineLevel="0" collapsed="false">
      <c r="A31" s="5" t="s">
        <v>15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60"/>
    <col collapsed="false" customWidth="true" hidden="false" outlineLevel="0" max="2" min="2" style="0" width="18"/>
    <col collapsed="false" customWidth="true" hidden="false" outlineLevel="0" max="4" min="3" style="0" width="16"/>
  </cols>
  <sheetData>
    <row r="1" customFormat="false" ht="24" hidden="false" customHeight="true" outlineLevel="0" collapsed="false">
      <c r="A1" s="1" t="s">
        <v>16</v>
      </c>
    </row>
    <row r="2" customFormat="false" ht="15" hidden="false" customHeight="false" outlineLevel="0" collapsed="false">
      <c r="A2" s="2" t="s">
        <v>17</v>
      </c>
    </row>
    <row r="3" customFormat="false" ht="15" hidden="false" customHeight="false" outlineLevel="0" collapsed="false">
      <c r="A3" s="3"/>
      <c r="B3" s="3"/>
      <c r="C3" s="3"/>
      <c r="D3" s="3"/>
    </row>
    <row r="5" customFormat="false" ht="15" hidden="false" customHeight="false" outlineLevel="0" collapsed="false">
      <c r="A5" s="4" t="s">
        <v>18</v>
      </c>
      <c r="B5" s="6"/>
      <c r="C5" s="6"/>
      <c r="D5" s="6"/>
    </row>
    <row r="7" customFormat="false" ht="15" hidden="false" customHeight="false" outlineLevel="0" collapsed="false">
      <c r="A7" s="7" t="s">
        <v>19</v>
      </c>
      <c r="B7" s="8" t="n">
        <v>340000000</v>
      </c>
    </row>
    <row r="8" customFormat="false" ht="15" hidden="false" customHeight="false" outlineLevel="0" collapsed="false">
      <c r="A8" s="7" t="s">
        <v>20</v>
      </c>
      <c r="B8" s="8" t="n">
        <v>44200000</v>
      </c>
    </row>
    <row r="9" customFormat="false" ht="15" hidden="false" customHeight="false" outlineLevel="0" collapsed="false">
      <c r="A9" s="7" t="s">
        <v>21</v>
      </c>
      <c r="B9" s="8" t="n">
        <v>180000000</v>
      </c>
    </row>
    <row r="10" customFormat="false" ht="15" hidden="false" customHeight="false" outlineLevel="0" collapsed="false">
      <c r="A10" s="7" t="s">
        <v>22</v>
      </c>
      <c r="B10" s="8" t="n">
        <v>150000000</v>
      </c>
    </row>
    <row r="11" customFormat="false" ht="15" hidden="false" customHeight="false" outlineLevel="0" collapsed="false">
      <c r="A11" s="7" t="s">
        <v>23</v>
      </c>
      <c r="B11" s="8" t="n">
        <v>120000000</v>
      </c>
    </row>
    <row r="12" customFormat="false" ht="15" hidden="false" customHeight="false" outlineLevel="0" collapsed="false">
      <c r="A12" s="7" t="s">
        <v>24</v>
      </c>
      <c r="B12" s="8" t="n">
        <v>11000000</v>
      </c>
    </row>
    <row r="13" customFormat="false" ht="15" hidden="false" customHeight="false" outlineLevel="0" collapsed="false">
      <c r="A13" s="7" t="s">
        <v>25</v>
      </c>
      <c r="B13" s="8" t="n">
        <v>25000000</v>
      </c>
    </row>
    <row r="14" customFormat="false" ht="15" hidden="false" customHeight="false" outlineLevel="0" collapsed="false">
      <c r="A14" s="9" t="s">
        <v>26</v>
      </c>
    </row>
    <row r="16" customFormat="false" ht="15" hidden="false" customHeight="false" outlineLevel="0" collapsed="false">
      <c r="A16" s="4" t="s">
        <v>27</v>
      </c>
      <c r="B16" s="6"/>
      <c r="C16" s="6"/>
      <c r="D16" s="6"/>
    </row>
    <row r="18" customFormat="false" ht="15" hidden="false" customHeight="false" outlineLevel="0" collapsed="false">
      <c r="A18" s="7" t="s">
        <v>28</v>
      </c>
      <c r="B18" s="10" t="n">
        <v>1.25</v>
      </c>
    </row>
    <row r="19" customFormat="false" ht="30" hidden="false" customHeight="true" outlineLevel="0" collapsed="false">
      <c r="A19" s="11" t="s">
        <v>29</v>
      </c>
      <c r="B19" s="12" t="s">
        <v>30</v>
      </c>
      <c r="C19" s="12" t="s">
        <v>31</v>
      </c>
    </row>
    <row r="20" customFormat="false" ht="15" hidden="false" customHeight="false" outlineLevel="0" collapsed="false">
      <c r="A20" s="7" t="s">
        <v>32</v>
      </c>
      <c r="B20" s="13" t="n">
        <v>0.0385</v>
      </c>
      <c r="C20" s="13" t="n">
        <v>0.0505</v>
      </c>
    </row>
    <row r="21" customFormat="false" ht="15" hidden="false" customHeight="false" outlineLevel="0" collapsed="false">
      <c r="A21" s="7" t="s">
        <v>33</v>
      </c>
      <c r="B21" s="13" t="n">
        <v>0.0398</v>
      </c>
      <c r="C21" s="13" t="n">
        <v>0.0512</v>
      </c>
    </row>
    <row r="22" customFormat="false" ht="15" hidden="false" customHeight="false" outlineLevel="0" collapsed="false">
      <c r="A22" s="7" t="s">
        <v>34</v>
      </c>
      <c r="B22" s="13" t="n">
        <v>0.0412</v>
      </c>
      <c r="C22" s="13" t="n">
        <v>0.0521</v>
      </c>
    </row>
    <row r="23" customFormat="false" ht="15" hidden="false" customHeight="false" outlineLevel="0" collapsed="false">
      <c r="A23" s="7" t="s">
        <v>35</v>
      </c>
      <c r="B23" s="13" t="n">
        <v>0.0425</v>
      </c>
      <c r="C23" s="13" t="n">
        <v>0.053</v>
      </c>
    </row>
    <row r="24" customFormat="false" ht="15" hidden="false" customHeight="false" outlineLevel="0" collapsed="false">
      <c r="A24" s="7" t="s">
        <v>36</v>
      </c>
      <c r="B24" s="13" t="n">
        <v>0.0436</v>
      </c>
      <c r="C24" s="13" t="n">
        <v>0.0538</v>
      </c>
    </row>
    <row r="25" customFormat="false" ht="15" hidden="false" customHeight="false" outlineLevel="0" collapsed="false">
      <c r="A25" s="9" t="s">
        <v>37</v>
      </c>
    </row>
    <row r="27" customFormat="false" ht="15" hidden="false" customHeight="false" outlineLevel="0" collapsed="false">
      <c r="A27" s="4" t="s">
        <v>38</v>
      </c>
      <c r="B27" s="6"/>
      <c r="C27" s="6"/>
      <c r="D27" s="6"/>
    </row>
    <row r="29" customFormat="false" ht="15" hidden="false" customHeight="false" outlineLevel="0" collapsed="false">
      <c r="A29" s="7" t="s">
        <v>39</v>
      </c>
      <c r="B29" s="14" t="n">
        <v>0.75</v>
      </c>
    </row>
    <row r="30" customFormat="false" ht="15" hidden="false" customHeight="false" outlineLevel="0" collapsed="false">
      <c r="A30" s="7" t="s">
        <v>40</v>
      </c>
      <c r="B30" s="13" t="n">
        <v>0.00025</v>
      </c>
    </row>
    <row r="31" customFormat="false" ht="15" hidden="false" customHeight="false" outlineLevel="0" collapsed="false">
      <c r="A31" s="7" t="s">
        <v>41</v>
      </c>
      <c r="B31" s="10" t="n">
        <v>0.0008</v>
      </c>
    </row>
    <row r="32" customFormat="false" ht="15" hidden="false" customHeight="false" outlineLevel="0" collapsed="false">
      <c r="A32" s="7" t="s">
        <v>42</v>
      </c>
      <c r="B32" s="13" t="n">
        <v>0.0011</v>
      </c>
    </row>
    <row r="33" customFormat="false" ht="15" hidden="false" customHeight="false" outlineLevel="0" collapsed="false">
      <c r="A33" s="7" t="s">
        <v>43</v>
      </c>
      <c r="B33" s="13" t="n">
        <v>0.0015</v>
      </c>
    </row>
    <row r="35" customFormat="false" ht="15" hidden="false" customHeight="false" outlineLevel="0" collapsed="false">
      <c r="A35" s="4" t="s">
        <v>44</v>
      </c>
      <c r="B35" s="6"/>
      <c r="C35" s="6"/>
      <c r="D35" s="6"/>
    </row>
    <row r="37" customFormat="false" ht="15" hidden="false" customHeight="false" outlineLevel="0" collapsed="false">
      <c r="A37" s="7" t="s">
        <v>45</v>
      </c>
      <c r="B37" s="15" t="n">
        <v>26000</v>
      </c>
    </row>
    <row r="38" customFormat="false" ht="15" hidden="false" customHeight="false" outlineLevel="0" collapsed="false">
      <c r="A38" s="7" t="s">
        <v>46</v>
      </c>
      <c r="B38" s="16" t="n">
        <v>2450</v>
      </c>
    </row>
    <row r="39" customFormat="false" ht="15" hidden="false" customHeight="false" outlineLevel="0" collapsed="false">
      <c r="A39" s="7" t="s">
        <v>47</v>
      </c>
      <c r="B39" s="13" t="n">
        <v>0.0412</v>
      </c>
    </row>
    <row r="40" customFormat="false" ht="15" hidden="false" customHeight="false" outlineLevel="0" collapsed="false">
      <c r="A40" s="7" t="s">
        <v>48</v>
      </c>
      <c r="B40" s="14" t="n">
        <v>0.24</v>
      </c>
    </row>
    <row r="41" customFormat="false" ht="15" hidden="false" customHeight="false" outlineLevel="0" collapsed="false">
      <c r="A41" s="7" t="s">
        <v>49</v>
      </c>
      <c r="B41" s="16" t="n">
        <v>2680</v>
      </c>
    </row>
    <row r="42" customFormat="false" ht="15" hidden="false" customHeight="false" outlineLevel="0" collapsed="false">
      <c r="A42" s="7" t="s">
        <v>50</v>
      </c>
      <c r="B42" s="16" t="n">
        <v>2300</v>
      </c>
    </row>
    <row r="43" customFormat="false" ht="15" hidden="false" customHeight="false" outlineLevel="0" collapsed="false">
      <c r="A43" s="9" t="s">
        <v>51</v>
      </c>
    </row>
    <row r="45" customFormat="false" ht="15" hidden="false" customHeight="false" outlineLevel="0" collapsed="false">
      <c r="A45" s="4" t="s">
        <v>52</v>
      </c>
      <c r="B45" s="6"/>
      <c r="C45" s="6"/>
      <c r="D45" s="6"/>
    </row>
    <row r="47" customFormat="false" ht="30" hidden="false" customHeight="true" outlineLevel="0" collapsed="false">
      <c r="A47" s="11" t="s">
        <v>53</v>
      </c>
      <c r="B47" s="12" t="s">
        <v>54</v>
      </c>
      <c r="C47" s="12" t="s">
        <v>55</v>
      </c>
      <c r="D47" s="12" t="s">
        <v>56</v>
      </c>
    </row>
    <row r="48" customFormat="false" ht="15" hidden="false" customHeight="false" outlineLevel="0" collapsed="false">
      <c r="A48" s="7" t="s">
        <v>57</v>
      </c>
      <c r="B48" s="10" t="n">
        <v>1.25</v>
      </c>
      <c r="C48" s="13" t="n">
        <v>0.0385</v>
      </c>
      <c r="D48" s="16" t="n">
        <v>2450</v>
      </c>
    </row>
    <row r="49" customFormat="false" ht="15" hidden="false" customHeight="false" outlineLevel="0" collapsed="false">
      <c r="A49" s="7" t="s">
        <v>58</v>
      </c>
      <c r="B49" s="10" t="n">
        <v>1.19</v>
      </c>
      <c r="C49" s="13" t="n">
        <v>0.0455</v>
      </c>
      <c r="D49" s="16" t="n">
        <v>2720</v>
      </c>
    </row>
    <row r="50" customFormat="false" ht="15" hidden="false" customHeight="false" outlineLevel="0" collapsed="false">
      <c r="A50" s="7" t="s">
        <v>59</v>
      </c>
      <c r="B50" s="10" t="n">
        <v>1.14</v>
      </c>
      <c r="C50" s="13" t="n">
        <v>0.052</v>
      </c>
      <c r="D50" s="16" t="n">
        <v>2910</v>
      </c>
    </row>
    <row r="51" customFormat="false" ht="15" hidden="false" customHeight="false" outlineLevel="0" collapsed="false">
      <c r="A51" s="7" t="s">
        <v>60</v>
      </c>
      <c r="B51" s="10" t="n">
        <v>1.175</v>
      </c>
      <c r="C51" s="13" t="n">
        <v>0.0495</v>
      </c>
      <c r="D51" s="16" t="n">
        <v>2640</v>
      </c>
    </row>
    <row r="52" customFormat="false" ht="15" hidden="false" customHeight="false" outlineLevel="0" collapsed="false">
      <c r="A52" s="7" t="s">
        <v>61</v>
      </c>
      <c r="B52" s="10" t="n">
        <v>1.22</v>
      </c>
      <c r="C52" s="13" t="n">
        <v>0.043</v>
      </c>
      <c r="D52" s="16" t="n">
        <v>2480</v>
      </c>
    </row>
    <row r="53" customFormat="false" ht="15" hidden="false" customHeight="false" outlineLevel="0" collapsed="false">
      <c r="A53" s="7" t="s">
        <v>62</v>
      </c>
      <c r="B53" s="10" t="n">
        <v>1.26</v>
      </c>
      <c r="C53" s="13" t="n">
        <v>0.0395</v>
      </c>
      <c r="D53" s="16" t="n">
        <v>2360</v>
      </c>
    </row>
    <row r="54" customFormat="false" ht="15" hidden="false" customHeight="false" outlineLevel="0" collapsed="false">
      <c r="A54" s="9" t="s">
        <v>63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46"/>
    <col collapsed="false" customWidth="true" hidden="false" outlineLevel="0" max="5" min="2" style="0" width="13"/>
    <col collapsed="false" customWidth="true" hidden="false" outlineLevel="0" max="6" min="6" style="0" width="14"/>
    <col collapsed="false" customWidth="true" hidden="false" outlineLevel="0" max="10" min="7" style="0" width="15"/>
  </cols>
  <sheetData>
    <row r="1" customFormat="false" ht="24" hidden="false" customHeight="true" outlineLevel="0" collapsed="false">
      <c r="A1" s="1" t="s">
        <v>64</v>
      </c>
    </row>
    <row r="2" customFormat="false" ht="15" hidden="false" customHeight="false" outlineLevel="0" collapsed="false">
      <c r="A2" s="2" t="s">
        <v>65</v>
      </c>
    </row>
    <row r="3" customFormat="false" ht="15" hidden="false" customHeight="false" outlineLevel="0" collapsed="false">
      <c r="A3" s="3"/>
      <c r="B3" s="3"/>
      <c r="C3" s="3"/>
      <c r="D3" s="3"/>
      <c r="E3" s="3"/>
      <c r="F3" s="3"/>
      <c r="G3" s="3"/>
      <c r="H3" s="3"/>
      <c r="I3" s="3"/>
      <c r="J3" s="3"/>
    </row>
    <row r="5" customFormat="false" ht="15" hidden="false" customHeight="false" outlineLevel="0" collapsed="false">
      <c r="A5" s="4" t="s">
        <v>66</v>
      </c>
      <c r="B5" s="6"/>
      <c r="C5" s="6"/>
      <c r="D5" s="6"/>
      <c r="E5" s="6"/>
      <c r="F5" s="6"/>
      <c r="G5" s="6"/>
      <c r="H5" s="6"/>
      <c r="I5" s="6"/>
      <c r="J5" s="6"/>
    </row>
    <row r="7" customFormat="false" ht="30" hidden="false" customHeight="true" outlineLevel="0" collapsed="false">
      <c r="A7" s="11" t="s">
        <v>29</v>
      </c>
      <c r="B7" s="12" t="s">
        <v>67</v>
      </c>
      <c r="C7" s="12" t="s">
        <v>68</v>
      </c>
      <c r="D7" s="12" t="s">
        <v>69</v>
      </c>
      <c r="E7" s="12" t="s">
        <v>70</v>
      </c>
      <c r="F7" s="12" t="s">
        <v>71</v>
      </c>
      <c r="G7" s="12" t="s">
        <v>72</v>
      </c>
      <c r="H7" s="12" t="s">
        <v>73</v>
      </c>
      <c r="I7" s="12" t="s">
        <v>74</v>
      </c>
      <c r="J7" s="12" t="s">
        <v>75</v>
      </c>
    </row>
    <row r="8" customFormat="false" ht="15" hidden="false" customHeight="false" outlineLevel="0" collapsed="false">
      <c r="A8" s="7" t="s">
        <v>32</v>
      </c>
      <c r="B8" s="17" t="n">
        <f aca="false">INDEX(ParG,1)</f>
        <v>0.0385</v>
      </c>
      <c r="C8" s="17" t="n">
        <f aca="false">INDEX(ParU,1)</f>
        <v>0.0505</v>
      </c>
      <c r="D8" s="18" t="n">
        <f aca="false">1/(1+B8)</f>
        <v>0.962927298988926</v>
      </c>
      <c r="E8" s="18" t="n">
        <f aca="false">1/(1+C8)</f>
        <v>0.951927653498334</v>
      </c>
      <c r="F8" s="19" t="n">
        <f aca="false">Spot*D8/E8</f>
        <v>1.26444390948483</v>
      </c>
      <c r="G8" s="17" t="n">
        <f aca="false">1/D8-1</f>
        <v>0.0385</v>
      </c>
      <c r="H8" s="18" t="n">
        <f aca="false">1/(1+B8-CsaSp)</f>
        <v>0.964320154291225</v>
      </c>
      <c r="I8" s="18" t="n">
        <f aca="false">B8*SUM($D$8:D8)+D8</f>
        <v>1</v>
      </c>
      <c r="J8" s="18" t="n">
        <f aca="false">C8*SUM($E$8:E8)+E8</f>
        <v>1</v>
      </c>
    </row>
    <row r="9" customFormat="false" ht="15" hidden="false" customHeight="false" outlineLevel="0" collapsed="false">
      <c r="A9" s="20" t="s">
        <v>33</v>
      </c>
      <c r="B9" s="21" t="n">
        <f aca="false">INDEX(ParG,2)</f>
        <v>0.0398</v>
      </c>
      <c r="C9" s="21" t="n">
        <f aca="false">INDEX(ParU,2)</f>
        <v>0.0512</v>
      </c>
      <c r="D9" s="22" t="n">
        <f aca="false">(1-B9*SUM($D$8:D8))/(1+B9)</f>
        <v>0.924865833333565</v>
      </c>
      <c r="E9" s="22" t="n">
        <f aca="false">(1-C9*SUM($E$8:E8))/(1+C9)</f>
        <v>0.904928942295363</v>
      </c>
      <c r="F9" s="23" t="n">
        <f aca="false">Spot*D9/E9</f>
        <v>1.27753930461605</v>
      </c>
      <c r="G9" s="21" t="n">
        <f aca="false">D8/D9-1</f>
        <v>0.0411534995494143</v>
      </c>
      <c r="H9" s="22" t="n">
        <f aca="false">(1-(B9-CsaSp)*SUM($H$8:H8))/(1+B9-CsaSp)</f>
        <v>0.927541691313345</v>
      </c>
      <c r="I9" s="22" t="n">
        <f aca="false">B9*SUM($D$8:D9)+D9</f>
        <v>1</v>
      </c>
      <c r="J9" s="22" t="n">
        <f aca="false">C9*SUM($E$8:E9)+E9</f>
        <v>1</v>
      </c>
    </row>
    <row r="10" customFormat="false" ht="15" hidden="false" customHeight="false" outlineLevel="0" collapsed="false">
      <c r="A10" s="7" t="s">
        <v>34</v>
      </c>
      <c r="B10" s="17" t="n">
        <f aca="false">INDEX(ParG,3)</f>
        <v>0.0412</v>
      </c>
      <c r="C10" s="17" t="n">
        <f aca="false">INDEX(ParU,3)</f>
        <v>0.0521</v>
      </c>
      <c r="D10" s="18" t="n">
        <f aca="false">(1-B10*SUM($D$8:D9))/(1+B10)</f>
        <v>0.8857308134348</v>
      </c>
      <c r="E10" s="18" t="n">
        <f aca="false">(1-C10*SUM($E$8:E9))/(1+C10)</f>
        <v>0.858528439653216</v>
      </c>
      <c r="F10" s="19" t="n">
        <f aca="false">Spot*D10/E10</f>
        <v>1.28960610465125</v>
      </c>
      <c r="G10" s="17" t="n">
        <f aca="false">D9/D10-1</f>
        <v>0.0441838754000239</v>
      </c>
      <c r="H10" s="18" t="n">
        <f aca="false">(1-(B10-CsaSp)*SUM($H$8:H9))/(1+B10-CsaSp)</f>
        <v>0.889576882494468</v>
      </c>
      <c r="I10" s="18" t="n">
        <f aca="false">B10*SUM($D$8:D10)+D10</f>
        <v>1</v>
      </c>
      <c r="J10" s="18" t="n">
        <f aca="false">C10*SUM($E$8:E10)+E10</f>
        <v>1</v>
      </c>
    </row>
    <row r="11" customFormat="false" ht="15" hidden="false" customHeight="false" outlineLevel="0" collapsed="false">
      <c r="A11" s="20" t="s">
        <v>35</v>
      </c>
      <c r="B11" s="21" t="n">
        <f aca="false">INDEX(ParG,4)</f>
        <v>0.0425</v>
      </c>
      <c r="C11" s="21" t="n">
        <f aca="false">INDEX(ParU,4)</f>
        <v>0.053</v>
      </c>
      <c r="D11" s="22" t="n">
        <f aca="false">(1-B11*SUM($D$8:D10))/(1+B11)</f>
        <v>0.846163292379199</v>
      </c>
      <c r="E11" s="22" t="n">
        <f aca="false">(1-C11*SUM($E$8:E10))/(1+C11)</f>
        <v>0.812995814930023</v>
      </c>
      <c r="F11" s="23" t="n">
        <f aca="false">Spot*D11/E11</f>
        <v>1.30099576904346</v>
      </c>
      <c r="G11" s="21" t="n">
        <f aca="false">D10/D11-1</f>
        <v>0.0467610937651841</v>
      </c>
      <c r="H11" s="22" t="n">
        <f aca="false">(1-(B11-CsaSp)*SUM($H$8:H10))/(1+B11-CsaSp)</f>
        <v>0.851067254705033</v>
      </c>
      <c r="I11" s="22" t="n">
        <f aca="false">B11*SUM($D$8:D11)+D11</f>
        <v>1</v>
      </c>
      <c r="J11" s="22" t="n">
        <f aca="false">C11*SUM($E$8:E11)+E11</f>
        <v>1</v>
      </c>
    </row>
    <row r="12" customFormat="false" ht="15" hidden="false" customHeight="false" outlineLevel="0" collapsed="false">
      <c r="A12" s="7" t="s">
        <v>36</v>
      </c>
      <c r="B12" s="17" t="n">
        <f aca="false">INDEX(ParG,5)</f>
        <v>0.0436</v>
      </c>
      <c r="C12" s="17" t="n">
        <f aca="false">INDEX(ParU,5)</f>
        <v>0.0538</v>
      </c>
      <c r="D12" s="18" t="n">
        <f aca="false">(1-B12*SUM($D$8:D11))/(1+B12)</f>
        <v>0.806996585298245</v>
      </c>
      <c r="E12" s="18" t="n">
        <f aca="false">(1-C12*SUM($E$8:E11))/(1+C12)</f>
        <v>0.768811074444601</v>
      </c>
      <c r="F12" s="19" t="n">
        <f aca="false">Spot*D12/E12</f>
        <v>1.31208532909276</v>
      </c>
      <c r="G12" s="17" t="n">
        <f aca="false">D11/D12-1</f>
        <v>0.048533919219099</v>
      </c>
      <c r="H12" s="18" t="n">
        <f aca="false">(1-(B12-CsaSp)*SUM($H$8:H11))/(1+B12-CsaSp)</f>
        <v>0.812850492394155</v>
      </c>
      <c r="I12" s="18" t="n">
        <f aca="false">B12*SUM($D$8:D12)+D12</f>
        <v>1</v>
      </c>
      <c r="J12" s="18" t="n">
        <f aca="false">C12*SUM($E$8:E12)+E12</f>
        <v>1</v>
      </c>
    </row>
    <row r="13" customFormat="false" ht="15" hidden="false" customHeight="false" outlineLevel="0" collapsed="false">
      <c r="A13" s="9" t="s">
        <v>76</v>
      </c>
    </row>
    <row r="15" customFormat="false" ht="15" hidden="false" customHeight="false" outlineLevel="0" collapsed="false">
      <c r="A15" s="4" t="s">
        <v>77</v>
      </c>
      <c r="B15" s="6"/>
      <c r="C15" s="6"/>
      <c r="D15" s="6"/>
      <c r="E15" s="6"/>
      <c r="F15" s="6"/>
      <c r="G15" s="6"/>
      <c r="H15" s="6"/>
    </row>
    <row r="17" customFormat="false" ht="15" hidden="false" customHeight="false" outlineLevel="0" collapsed="false">
      <c r="A17" s="7" t="s">
        <v>78</v>
      </c>
      <c r="B17" s="18" t="n">
        <f aca="false">SUM(DFG)</f>
        <v>4.42668382343474</v>
      </c>
    </row>
    <row r="18" customFormat="false" ht="15" hidden="false" customHeight="false" outlineLevel="0" collapsed="false">
      <c r="A18" s="7" t="s">
        <v>79</v>
      </c>
      <c r="B18" s="18" t="n">
        <f aca="false">SUM(DFCSA)</f>
        <v>4.44535647519823</v>
      </c>
    </row>
    <row r="19" customFormat="false" ht="15" hidden="false" customHeight="false" outlineLevel="0" collapsed="false">
      <c r="A19" s="7" t="s">
        <v>80</v>
      </c>
      <c r="B19" s="17" t="n">
        <f aca="false">(1-INDEX(DFG,5))/SUM(DFG)</f>
        <v>0.0436</v>
      </c>
    </row>
    <row r="20" customFormat="false" ht="15" hidden="false" customHeight="false" outlineLevel="0" collapsed="false">
      <c r="A20" s="7" t="s">
        <v>81</v>
      </c>
      <c r="B20" s="17" t="n">
        <f aca="false">SwapMid+BoIrs</f>
        <v>0.04385</v>
      </c>
    </row>
    <row r="21" customFormat="false" ht="15" hidden="false" customHeight="false" outlineLevel="0" collapsed="false">
      <c r="A21" s="7" t="s">
        <v>82</v>
      </c>
      <c r="B21" s="18" t="n">
        <f aca="false">INDEX(DFG,1)/INDEX(DFU,1)</f>
        <v>1.01155512758787</v>
      </c>
    </row>
    <row r="22" customFormat="false" ht="15" hidden="false" customHeight="false" outlineLevel="0" collapsed="false">
      <c r="A22" s="7" t="s">
        <v>83</v>
      </c>
      <c r="B22" s="19" t="n">
        <f aca="false">Spot*Diff1</f>
        <v>1.26444390948483</v>
      </c>
    </row>
    <row r="23" customFormat="false" ht="15" hidden="false" customHeight="false" outlineLevel="0" collapsed="false">
      <c r="A23" s="7" t="s">
        <v>84</v>
      </c>
      <c r="B23" s="24" t="n">
        <f aca="false">UsdSales*Cover</f>
        <v>135000000</v>
      </c>
    </row>
    <row r="24" customFormat="false" ht="15" hidden="false" customHeight="false" outlineLevel="0" collapsed="false">
      <c r="A24" s="7" t="s">
        <v>85</v>
      </c>
      <c r="B24" s="24" t="n">
        <f aca="false">UsdSales*(1-Cover)</f>
        <v>45000000</v>
      </c>
    </row>
    <row r="25" customFormat="false" ht="15" hidden="false" customHeight="false" outlineLevel="0" collapsed="false">
      <c r="A25" s="7" t="s">
        <v>86</v>
      </c>
      <c r="B25" s="24" t="n">
        <f aca="false">Cash+Facility</f>
        <v>36000000</v>
      </c>
    </row>
    <row r="27" customFormat="false" ht="15" hidden="false" customHeight="false" outlineLevel="0" collapsed="false">
      <c r="A27" s="4" t="s">
        <v>87</v>
      </c>
      <c r="B27" s="6"/>
      <c r="C27" s="6"/>
      <c r="D27" s="6"/>
      <c r="E27" s="6"/>
      <c r="F27" s="6"/>
      <c r="G27" s="6"/>
      <c r="H27" s="6"/>
    </row>
    <row r="29" customFormat="false" ht="15" hidden="false" customHeight="false" outlineLevel="0" collapsed="false">
      <c r="A29" s="7" t="s">
        <v>88</v>
      </c>
      <c r="B29" s="25" t="n">
        <f aca="false">MAX(ABS(MAX(I8:J12)-1),ABS(1-MIN(I8:J12)))</f>
        <v>0</v>
      </c>
    </row>
    <row r="30" customFormat="false" ht="15" hidden="false" customHeight="false" outlineLevel="0" collapsed="false">
      <c r="A30" s="7" t="s">
        <v>89</v>
      </c>
      <c r="B30" s="25" t="n">
        <f aca="false">INDEX(ParG,5)-SwapMid</f>
        <v>0</v>
      </c>
    </row>
    <row r="31" customFormat="false" ht="15" hidden="false" customHeight="false" outlineLevel="0" collapsed="false">
      <c r="A31" s="7" t="s">
        <v>90</v>
      </c>
      <c r="B31" s="25" t="n">
        <f aca="false">Spot*Diff1-INDEX(FWDFX,1)</f>
        <v>0</v>
      </c>
    </row>
    <row r="32" customFormat="false" ht="15" hidden="false" customHeight="false" outlineLevel="0" collapsed="false">
      <c r="A32" s="7" t="s">
        <v>91</v>
      </c>
      <c r="B32" s="25" t="n">
        <f aca="false">SUMPRODUCT(FWDIMP,DFG)-(1-INDEX(DFG,5))</f>
        <v>0</v>
      </c>
    </row>
    <row r="33" customFormat="false" ht="15" hidden="false" customHeight="false" outlineLevel="0" collapsed="false">
      <c r="A33" s="9" t="s">
        <v>92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68"/>
    <col collapsed="false" customWidth="true" hidden="false" outlineLevel="0" max="2" min="2" style="0" width="22"/>
  </cols>
  <sheetData>
    <row r="1" customFormat="false" ht="24" hidden="false" customHeight="true" outlineLevel="0" collapsed="false">
      <c r="A1" s="1" t="s">
        <v>93</v>
      </c>
    </row>
    <row r="2" customFormat="false" ht="15" hidden="false" customHeight="false" outlineLevel="0" collapsed="false">
      <c r="A2" s="2" t="s">
        <v>94</v>
      </c>
    </row>
    <row r="3" customFormat="false" ht="15" hidden="false" customHeight="false" outlineLevel="0" collapsed="false">
      <c r="A3" s="3"/>
      <c r="B3" s="3"/>
    </row>
    <row r="5" customFormat="false" ht="15" hidden="false" customHeight="false" outlineLevel="0" collapsed="false">
      <c r="A5" s="7" t="s">
        <v>95</v>
      </c>
      <c r="B5" s="17" t="n">
        <f aca="false">INDEX(LibP,3)</f>
        <v>0.052</v>
      </c>
    </row>
    <row r="6" customFormat="false" ht="15" hidden="false" customHeight="false" outlineLevel="0" collapsed="false">
      <c r="A6" s="7" t="s">
        <v>96</v>
      </c>
      <c r="B6" s="18" t="n">
        <f aca="false">Ann</f>
        <v>4.42668382343474</v>
      </c>
    </row>
    <row r="7" customFormat="false" ht="15" hidden="false" customHeight="false" outlineLevel="0" collapsed="false">
      <c r="A7" s="7" t="s">
        <v>97</v>
      </c>
      <c r="B7" s="18" t="n">
        <f aca="false">AnnCsa</f>
        <v>4.44535647519823</v>
      </c>
    </row>
    <row r="8" customFormat="false" ht="15" hidden="false" customHeight="false" outlineLevel="0" collapsed="false">
      <c r="A8" s="7" t="s">
        <v>98</v>
      </c>
      <c r="B8" s="24" t="n">
        <f aca="false">Notional*(INDEX(LibP,3)-SwapPaid)*Ann</f>
        <v>4329296.77931915</v>
      </c>
    </row>
    <row r="9" customFormat="false" ht="15" hidden="false" customHeight="false" outlineLevel="0" collapsed="false">
      <c r="A9" s="7" t="s">
        <v>99</v>
      </c>
      <c r="B9" s="24" t="n">
        <f aca="false">Notional*(INDEX(LibP,3)-SwapPaid)*AnnCsa</f>
        <v>4347558.63274384</v>
      </c>
    </row>
    <row r="10" customFormat="false" ht="15" hidden="false" customHeight="false" outlineLevel="0" collapsed="false">
      <c r="A10" s="7" t="s">
        <v>100</v>
      </c>
      <c r="B10" s="24" t="n">
        <f aca="false">Discounting!$B$9-Discounting!$B$8</f>
        <v>18261.8534246944</v>
      </c>
    </row>
    <row r="11" customFormat="false" ht="15" hidden="false" customHeight="false" outlineLevel="0" collapsed="false">
      <c r="A11" s="9" t="s">
        <v>101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0"/>
    <col collapsed="false" customWidth="true" hidden="false" outlineLevel="0" max="3" min="2" style="0" width="11"/>
    <col collapsed="false" customWidth="true" hidden="false" outlineLevel="0" max="4" min="4" style="0" width="10"/>
    <col collapsed="false" customWidth="true" hidden="false" outlineLevel="0" max="5" min="5" style="0" width="11"/>
    <col collapsed="false" customWidth="true" hidden="false" outlineLevel="0" max="11" min="6" style="0" width="15"/>
    <col collapsed="false" customWidth="true" hidden="false" outlineLevel="0" max="17" min="12" style="0" width="16"/>
  </cols>
  <sheetData>
    <row r="1" customFormat="false" ht="24" hidden="false" customHeight="true" outlineLevel="0" collapsed="false">
      <c r="A1" s="1" t="s">
        <v>102</v>
      </c>
    </row>
    <row r="2" customFormat="false" ht="15" hidden="false" customHeight="false" outlineLevel="0" collapsed="false">
      <c r="A2" s="2" t="s">
        <v>103</v>
      </c>
    </row>
    <row r="3" customFormat="false" ht="15" hidden="false" customHeight="false" outlineLevel="0" collapsed="false">
      <c r="A3" s="3"/>
      <c r="B3" s="3"/>
      <c r="C3" s="3"/>
      <c r="D3" s="3"/>
      <c r="E3" s="3"/>
      <c r="F3" s="3"/>
      <c r="G3" s="3"/>
      <c r="H3" s="3"/>
      <c r="I3" s="3"/>
      <c r="J3" s="3"/>
      <c r="K3" s="3"/>
      <c r="L3" s="3"/>
      <c r="M3" s="3"/>
      <c r="N3" s="3"/>
      <c r="O3" s="3"/>
      <c r="P3" s="3"/>
      <c r="Q3" s="3"/>
    </row>
    <row r="5" customFormat="false" ht="15" hidden="false" customHeight="false" outlineLevel="0" collapsed="false">
      <c r="A5" s="4" t="s">
        <v>104</v>
      </c>
      <c r="B5" s="6"/>
      <c r="C5" s="6"/>
      <c r="D5" s="6"/>
      <c r="E5" s="6"/>
      <c r="F5" s="6"/>
      <c r="G5" s="6"/>
      <c r="H5" s="6"/>
      <c r="I5" s="6"/>
      <c r="J5" s="6"/>
      <c r="K5" s="6"/>
      <c r="L5" s="6"/>
      <c r="M5" s="6"/>
      <c r="N5" s="6"/>
      <c r="O5" s="6"/>
      <c r="P5" s="6"/>
      <c r="Q5" s="6"/>
    </row>
    <row r="7" customFormat="false" ht="30" hidden="false" customHeight="true" outlineLevel="0" collapsed="false">
      <c r="A7" s="11" t="s">
        <v>105</v>
      </c>
      <c r="B7" s="12" t="s">
        <v>106</v>
      </c>
      <c r="C7" s="12" t="s">
        <v>107</v>
      </c>
    </row>
    <row r="8" customFormat="false" ht="15" hidden="false" customHeight="false" outlineLevel="0" collapsed="false">
      <c r="A8" s="7" t="s">
        <v>108</v>
      </c>
      <c r="B8" s="18" t="n">
        <v>1</v>
      </c>
      <c r="C8" s="18" t="n">
        <v>1</v>
      </c>
    </row>
    <row r="9" customFormat="false" ht="15" hidden="false" customHeight="false" outlineLevel="0" collapsed="false">
      <c r="A9" s="7" t="s">
        <v>32</v>
      </c>
      <c r="B9" s="18" t="n">
        <f aca="false">INDEX(DFG,1)</f>
        <v>0.962927298988926</v>
      </c>
      <c r="C9" s="18" t="n">
        <f aca="false">INDEX(DFU,1)</f>
        <v>0.951927653498334</v>
      </c>
    </row>
    <row r="10" customFormat="false" ht="15" hidden="false" customHeight="false" outlineLevel="0" collapsed="false">
      <c r="A10" s="7" t="s">
        <v>33</v>
      </c>
      <c r="B10" s="18" t="n">
        <f aca="false">INDEX(DFG,2)</f>
        <v>0.924865833333565</v>
      </c>
      <c r="C10" s="18" t="n">
        <f aca="false">INDEX(DFU,2)</f>
        <v>0.904928942295363</v>
      </c>
    </row>
    <row r="11" customFormat="false" ht="15" hidden="false" customHeight="false" outlineLevel="0" collapsed="false">
      <c r="A11" s="7" t="s">
        <v>34</v>
      </c>
      <c r="B11" s="18" t="n">
        <f aca="false">INDEX(DFG,3)</f>
        <v>0.8857308134348</v>
      </c>
      <c r="C11" s="18" t="n">
        <f aca="false">INDEX(DFU,3)</f>
        <v>0.858528439653216</v>
      </c>
    </row>
    <row r="12" customFormat="false" ht="15" hidden="false" customHeight="false" outlineLevel="0" collapsed="false">
      <c r="A12" s="7" t="s">
        <v>35</v>
      </c>
      <c r="B12" s="18" t="n">
        <f aca="false">INDEX(DFG,4)</f>
        <v>0.846163292379199</v>
      </c>
      <c r="C12" s="18" t="n">
        <f aca="false">INDEX(DFU,4)</f>
        <v>0.812995814930023</v>
      </c>
    </row>
    <row r="14" customFormat="false" ht="15" hidden="false" customHeight="false" outlineLevel="0" collapsed="false">
      <c r="A14" s="4" t="s">
        <v>109</v>
      </c>
      <c r="B14" s="6"/>
      <c r="C14" s="6"/>
      <c r="D14" s="6"/>
      <c r="E14" s="6"/>
      <c r="F14" s="6"/>
      <c r="G14" s="6"/>
      <c r="H14" s="6"/>
      <c r="I14" s="6"/>
      <c r="J14" s="6"/>
      <c r="K14" s="6"/>
      <c r="L14" s="6"/>
      <c r="M14" s="6"/>
      <c r="N14" s="6"/>
      <c r="O14" s="6"/>
      <c r="P14" s="6"/>
      <c r="Q14" s="6"/>
    </row>
    <row r="16" customFormat="false" ht="30" hidden="false" customHeight="true" outlineLevel="0" collapsed="false">
      <c r="A16" s="11" t="s">
        <v>53</v>
      </c>
      <c r="B16" s="12" t="s">
        <v>110</v>
      </c>
      <c r="C16" s="12" t="s">
        <v>111</v>
      </c>
      <c r="D16" s="12" t="s">
        <v>112</v>
      </c>
      <c r="E16" s="12" t="s">
        <v>113</v>
      </c>
      <c r="F16" s="12" t="s">
        <v>114</v>
      </c>
      <c r="G16" s="12" t="s">
        <v>115</v>
      </c>
      <c r="H16" s="12" t="s">
        <v>116</v>
      </c>
      <c r="I16" s="12" t="s">
        <v>117</v>
      </c>
      <c r="J16" s="12" t="s">
        <v>118</v>
      </c>
      <c r="K16" s="12" t="s">
        <v>119</v>
      </c>
      <c r="L16" s="12" t="s">
        <v>120</v>
      </c>
      <c r="M16" s="12" t="s">
        <v>121</v>
      </c>
      <c r="N16" s="12" t="s">
        <v>122</v>
      </c>
      <c r="O16" s="12" t="s">
        <v>123</v>
      </c>
      <c r="P16" s="12" t="s">
        <v>124</v>
      </c>
      <c r="Q16" s="12" t="s">
        <v>125</v>
      </c>
    </row>
    <row r="17" customFormat="false" ht="15" hidden="false" customHeight="false" outlineLevel="0" collapsed="false">
      <c r="A17" s="7" t="s">
        <v>126</v>
      </c>
      <c r="B17" s="19" t="n">
        <f aca="false">INDEX(SpotP,2)</f>
        <v>1.19</v>
      </c>
      <c r="C17" s="17" t="n">
        <f aca="false">INDEX(LibP,2)</f>
        <v>0.0455</v>
      </c>
      <c r="D17" s="26" t="n">
        <f aca="false">4</f>
        <v>4</v>
      </c>
      <c r="E17" s="18" t="n">
        <f aca="false">IF(D17=0,0,(1-(1+C17)^-D17)/C17)</f>
        <v>3.58333276035111</v>
      </c>
      <c r="F17" s="24" t="n">
        <f aca="false">Notional*(C17-SwapPaid)*E17</f>
        <v>709499.886549502</v>
      </c>
      <c r="G17" s="24" t="n">
        <f aca="false">Hedged*(1/INDEX(FWDFX,1)-1/(B17*INDEX(hDFG,1)/INDEX(hDFU,1)))*INDEX(hDFG,1)</f>
        <v>-6679076.39019437</v>
      </c>
      <c r="H17" s="24" t="n">
        <f aca="false">Hedged*(1/INDEX(FWDFX,2)-1/(B17*INDEX(hDFG,2)/INDEX(hDFU,2)))*INDEX(hDFG,2)</f>
        <v>-6237439.63140896</v>
      </c>
      <c r="I17" s="24" t="n">
        <f aca="false">Hedged*(1/INDEX(FWDFX,3)-1/(B17*INDEX(hDFG,3)/INDEX(hDFU,3)))*INDEX(hDFG,3)</f>
        <v>-5842158.30682876</v>
      </c>
      <c r="J17" s="24" t="n">
        <f aca="false">Hedged*(1/INDEX(FWDFX,4)-1/(B17*INDEX(hDFG,4)/INDEX(hDFU,4)))*INDEX(hDFG,4)</f>
        <v>-5486745.53610261</v>
      </c>
      <c r="K17" s="24" t="n">
        <f aca="false">Hedged*(1/INDEX(FWDFX,5)-1/(B17*INDEX(hDFG,5)/INDEX(hDFU,5)))*INDEX(hDFG,5)</f>
        <v>-5169172.84527264</v>
      </c>
      <c r="L17" s="24" t="n">
        <f aca="false">SUM(G17:K17)</f>
        <v>-29414592.7098073</v>
      </c>
      <c r="M17" s="24" t="n">
        <f aca="false">L17-G17</f>
        <v>-22735516.319613</v>
      </c>
      <c r="N17" s="24" t="n">
        <f aca="false">Hedged/(INDEX(SpotP,1)*Diff1)-Hedged/B17</f>
        <v>-6679076.39019436</v>
      </c>
      <c r="O17" s="24" t="n">
        <f aca="false">MAX(0,-(N17+F17))</f>
        <v>5969576.50364486</v>
      </c>
      <c r="P17" s="24" t="n">
        <f aca="false">MAX(0,-(L17+F17))</f>
        <v>28705092.8232578</v>
      </c>
      <c r="Q17" s="24" t="n">
        <f aca="false">MAX(0,-(M17+F17))</f>
        <v>22026016.4330635</v>
      </c>
    </row>
    <row r="18" customFormat="false" ht="15" hidden="false" customHeight="false" outlineLevel="0" collapsed="false">
      <c r="A18" s="20" t="s">
        <v>127</v>
      </c>
      <c r="B18" s="23" t="n">
        <f aca="false">INDEX(SpotP,3)</f>
        <v>1.14</v>
      </c>
      <c r="C18" s="21" t="n">
        <f aca="false">INDEX(LibP,3)</f>
        <v>0.052</v>
      </c>
      <c r="D18" s="27" t="n">
        <f aca="false">3</f>
        <v>3</v>
      </c>
      <c r="E18" s="22" t="n">
        <f aca="false">IF(D18=0,0,(1-(1+C18)^-D18)/C18)</f>
        <v>2.71307444646927</v>
      </c>
      <c r="F18" s="28" t="n">
        <f aca="false">Notional*(C18-SwapPaid)*E18</f>
        <v>2653386.80864693</v>
      </c>
      <c r="G18" s="28" t="n">
        <v>0</v>
      </c>
      <c r="H18" s="28" t="n">
        <f aca="false">Hedged*(1/INDEX(FWDFX,2)-1/(B18*INDEX(hDFG,1)/INDEX(hDFU,1)))*INDEX(hDFG,1)</f>
        <v>-12749157.0490218</v>
      </c>
      <c r="I18" s="28" t="n">
        <f aca="false">Hedged*(1/INDEX(FWDFX,3)-1/(B18*INDEX(hDFG,2)/INDEX(hDFU,2)))*INDEX(hDFG,2)</f>
        <v>-11926033.7506601</v>
      </c>
      <c r="J18" s="28" t="n">
        <f aca="false">Hedged*(1/INDEX(FWDFX,4)-1/(B18*INDEX(hDFG,3)/INDEX(hDFU,3)))*INDEX(hDFG,3)</f>
        <v>-11192389.2131733</v>
      </c>
      <c r="K18" s="28" t="n">
        <f aca="false">Hedged*(1/INDEX(FWDFX,5)-1/(B18*INDEX(hDFG,4)/INDEX(hDFU,4)))*INDEX(hDFG,4)</f>
        <v>-10535308.338705</v>
      </c>
      <c r="L18" s="28" t="n">
        <f aca="false">SUM(G18:K18)</f>
        <v>-46402888.3515603</v>
      </c>
      <c r="M18" s="28" t="n">
        <f aca="false">L18-H18</f>
        <v>-33653731.3025385</v>
      </c>
      <c r="N18" s="28" t="n">
        <f aca="false">Hedged/(INDEX(SpotP,2)*Diff1)-Hedged/B18</f>
        <v>-6271575.99180357</v>
      </c>
      <c r="O18" s="28" t="n">
        <f aca="false">MAX(0,-(N18+F18))</f>
        <v>3618189.18315664</v>
      </c>
      <c r="P18" s="28" t="n">
        <f aca="false">MAX(0,-(L18+F18))</f>
        <v>43749501.5429133</v>
      </c>
      <c r="Q18" s="28" t="n">
        <f aca="false">MAX(0,-(M18+F18))</f>
        <v>31000344.4938915</v>
      </c>
    </row>
    <row r="19" customFormat="false" ht="15" hidden="false" customHeight="false" outlineLevel="0" collapsed="false">
      <c r="A19" s="7" t="s">
        <v>128</v>
      </c>
      <c r="B19" s="19" t="n">
        <f aca="false">INDEX(SpotP,4)</f>
        <v>1.175</v>
      </c>
      <c r="C19" s="17" t="n">
        <f aca="false">INDEX(LibP,4)</f>
        <v>0.0495</v>
      </c>
      <c r="D19" s="26" t="n">
        <f aca="false">2</f>
        <v>2</v>
      </c>
      <c r="E19" s="18" t="n">
        <f aca="false">IF(D19=0,0,(1-(1+C19)^-D19)/C19)</f>
        <v>1.86072861665791</v>
      </c>
      <c r="F19" s="24" t="n">
        <f aca="false">Notional*(C19-SwapPaid)*E19</f>
        <v>1261574.00209405</v>
      </c>
      <c r="G19" s="24" t="n">
        <v>0</v>
      </c>
      <c r="H19" s="24" t="n">
        <v>0</v>
      </c>
      <c r="I19" s="24" t="n">
        <f aca="false">Hedged*(1/INDEX(FWDFX,3)-1/(B19*INDEX(hDFG,1)/INDEX(hDFU,1)))*INDEX(hDFG,1)</f>
        <v>-10210489.7368348</v>
      </c>
      <c r="J19" s="24" t="n">
        <f aca="false">Hedged*(1/INDEX(FWDFX,4)-1/(B19*INDEX(hDFG,2)/INDEX(hDFU,2)))*INDEX(hDFG,2)</f>
        <v>-9450650.97654482</v>
      </c>
      <c r="K19" s="24" t="n">
        <f aca="false">Hedged*(1/INDEX(FWDFX,5)-1/(B19*INDEX(hDFG,3)/INDEX(hDFU,3)))*INDEX(hDFG,3)</f>
        <v>-8811437.63661555</v>
      </c>
      <c r="L19" s="24" t="n">
        <f aca="false">SUM(G19:K19)</f>
        <v>-28472578.3499952</v>
      </c>
      <c r="M19" s="24" t="n">
        <f aca="false">L19-I19</f>
        <v>-18262088.6131604</v>
      </c>
      <c r="N19" s="24" t="n">
        <f aca="false">Hedged/(INDEX(SpotP,3)*Diff1)-Hedged/B19</f>
        <v>2174696.31322579</v>
      </c>
      <c r="O19" s="24" t="n">
        <f aca="false">MAX(0,-(N19+F19))</f>
        <v>0</v>
      </c>
      <c r="P19" s="24" t="n">
        <f aca="false">MAX(0,-(L19+F19))</f>
        <v>27211004.3479011</v>
      </c>
      <c r="Q19" s="24" t="n">
        <f aca="false">MAX(0,-(M19+F19))</f>
        <v>17000514.6110663</v>
      </c>
    </row>
    <row r="20" customFormat="false" ht="15" hidden="false" customHeight="false" outlineLevel="0" collapsed="false">
      <c r="A20" s="20" t="s">
        <v>129</v>
      </c>
      <c r="B20" s="23" t="n">
        <f aca="false">INDEX(SpotP,5)</f>
        <v>1.22</v>
      </c>
      <c r="C20" s="21" t="n">
        <f aca="false">INDEX(LibP,5)</f>
        <v>0.043</v>
      </c>
      <c r="D20" s="27" t="n">
        <f aca="false">1</f>
        <v>1</v>
      </c>
      <c r="E20" s="22" t="n">
        <f aca="false">IF(D20=0,0,(1-(1+C20)^-D20)/C20)</f>
        <v>0.958772770853307</v>
      </c>
      <c r="F20" s="28" t="n">
        <f aca="false">Notional*(C20-SwapPaid)*E20</f>
        <v>-97794.8226270425</v>
      </c>
      <c r="G20" s="28" t="n">
        <v>0</v>
      </c>
      <c r="H20" s="28" t="n">
        <v>0</v>
      </c>
      <c r="I20" s="28" t="n">
        <v>0</v>
      </c>
      <c r="J20" s="28" t="n">
        <f aca="false">Hedged*(1/INDEX(FWDFX,4)-1/(B20*INDEX(hDFG,1)/INDEX(hDFU,1)))*INDEX(hDFG,1)</f>
        <v>-6889066.65781925</v>
      </c>
      <c r="K20" s="28" t="n">
        <f aca="false">Hedged*(1/INDEX(FWDFX,5)-1/(B20*INDEX(hDFG,2)/INDEX(hDFU,2)))*INDEX(hDFG,2)</f>
        <v>-6261004.17700234</v>
      </c>
      <c r="L20" s="28" t="n">
        <f aca="false">SUM(G20:K20)</f>
        <v>-13150070.8348216</v>
      </c>
      <c r="M20" s="28" t="n">
        <f aca="false">L20-J20</f>
        <v>-6261004.17700234</v>
      </c>
      <c r="N20" s="28" t="n">
        <f aca="false">Hedged/(INDEX(SpotP,4)*Diff1)-Hedged/B20</f>
        <v>2925434.38132255</v>
      </c>
      <c r="O20" s="28" t="n">
        <f aca="false">MAX(0,-(N20+F20))</f>
        <v>0</v>
      </c>
      <c r="P20" s="28" t="n">
        <f aca="false">MAX(0,-(L20+F20))</f>
        <v>13247865.6574486</v>
      </c>
      <c r="Q20" s="28" t="n">
        <f aca="false">MAX(0,-(M20+F20))</f>
        <v>6358798.99962939</v>
      </c>
    </row>
    <row r="21" customFormat="false" ht="15" hidden="false" customHeight="false" outlineLevel="0" collapsed="false">
      <c r="A21" s="7" t="s">
        <v>130</v>
      </c>
      <c r="B21" s="19" t="n">
        <f aca="false">INDEX(SpotP,6)</f>
        <v>1.26</v>
      </c>
      <c r="C21" s="17" t="n">
        <f aca="false">INDEX(LibP,6)</f>
        <v>0.0395</v>
      </c>
      <c r="D21" s="26" t="n">
        <f aca="false">0</f>
        <v>0</v>
      </c>
      <c r="E21" s="18" t="n">
        <f aca="false">IF(D21=0,0,(1-(1+C21)^-D21)/C21)</f>
        <v>0</v>
      </c>
      <c r="F21" s="24" t="n">
        <f aca="false">Notional*(C21-SwapPaid)*E21</f>
        <v>-0</v>
      </c>
      <c r="G21" s="24" t="n">
        <v>0</v>
      </c>
      <c r="H21" s="24" t="n">
        <v>0</v>
      </c>
      <c r="I21" s="24" t="n">
        <v>0</v>
      </c>
      <c r="J21" s="24" t="n">
        <v>0</v>
      </c>
      <c r="K21" s="24" t="n">
        <f aca="false">Hedged*(1/INDEX(FWDFX,5)-1/(B21*INDEX(hDFG,1)/INDEX(hDFU,1)))*INDEX(hDFG,1)</f>
        <v>-4253207.35663087</v>
      </c>
      <c r="L21" s="24" t="n">
        <f aca="false">SUM(G21:K21)</f>
        <v>-4253207.35663087</v>
      </c>
      <c r="M21" s="24" t="n">
        <f aca="false">L21-K21</f>
        <v>0</v>
      </c>
      <c r="N21" s="24" t="n">
        <f aca="false">Hedged/(INDEX(SpotP,5)*Diff1)-Hedged/B21</f>
        <v>2248845.48118605</v>
      </c>
      <c r="O21" s="24" t="n">
        <f aca="false">MAX(0,-(N21+F21))</f>
        <v>0</v>
      </c>
      <c r="P21" s="24" t="n">
        <f aca="false">MAX(0,-(L21+F21))</f>
        <v>4253207.35663087</v>
      </c>
      <c r="Q21" s="24" t="n">
        <f aca="false">MAX(0,-(M21+F21))</f>
        <v>-0</v>
      </c>
    </row>
    <row r="23" customFormat="false" ht="15" hidden="false" customHeight="false" outlineLevel="0" collapsed="false">
      <c r="A23" s="9" t="s">
        <v>131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70"/>
    <col collapsed="false" customWidth="true" hidden="false" outlineLevel="0" max="2" min="2" style="0" width="22"/>
  </cols>
  <sheetData>
    <row r="1" customFormat="false" ht="24" hidden="false" customHeight="true" outlineLevel="0" collapsed="false">
      <c r="A1" s="1" t="s">
        <v>132</v>
      </c>
    </row>
    <row r="2" customFormat="false" ht="15" hidden="false" customHeight="false" outlineLevel="0" collapsed="false">
      <c r="A2" s="2" t="s">
        <v>133</v>
      </c>
    </row>
    <row r="3" customFormat="false" ht="15" hidden="false" customHeight="false" outlineLevel="0" collapsed="false">
      <c r="A3" s="3"/>
      <c r="B3" s="3"/>
    </row>
    <row r="5" customFormat="false" ht="15" hidden="false" customHeight="false" outlineLevel="0" collapsed="false">
      <c r="A5" s="7" t="s">
        <v>134</v>
      </c>
      <c r="B5" s="24" t="n">
        <f aca="false">Headroom</f>
        <v>36000000</v>
      </c>
    </row>
    <row r="6" customFormat="false" ht="15" hidden="false" customHeight="false" outlineLevel="0" collapsed="false">
      <c r="A6" s="7" t="s">
        <v>135</v>
      </c>
      <c r="B6" s="24" t="n">
        <f aca="false">MAX('The ledger'!$O$17:$O$21)</f>
        <v>5969576.50364486</v>
      </c>
    </row>
    <row r="7" customFormat="false" ht="15" hidden="false" customHeight="false" outlineLevel="0" collapsed="false">
      <c r="A7" s="7" t="s">
        <v>136</v>
      </c>
      <c r="B7" s="29" t="n">
        <f aca="false">(Headroom-MAX('The ledger'!$O$17:$O$21))/Headroom</f>
        <v>0.83417843045431</v>
      </c>
    </row>
    <row r="8" customFormat="false" ht="15" hidden="false" customHeight="false" outlineLevel="0" collapsed="false">
      <c r="A8" s="7" t="s">
        <v>137</v>
      </c>
      <c r="B8" s="24" t="n">
        <f aca="false">MAX('The ledger'!$P$17:$P$21)</f>
        <v>43749501.5429133</v>
      </c>
    </row>
    <row r="9" customFormat="false" ht="15" hidden="false" customHeight="false" outlineLevel="0" collapsed="false">
      <c r="A9" s="7" t="s">
        <v>138</v>
      </c>
      <c r="B9" s="29" t="n">
        <f aca="false">(Headroom-MAX('The ledger'!$P$17:$P$21))/Headroom</f>
        <v>-0.215263931747592</v>
      </c>
    </row>
    <row r="10" customFormat="false" ht="15" hidden="false" customHeight="false" outlineLevel="0" collapsed="false">
      <c r="A10" s="7" t="s">
        <v>139</v>
      </c>
      <c r="B10" s="24" t="n">
        <f aca="false">MAX('The ledger'!$Q$17:$Q$21)</f>
        <v>31000344.4938915</v>
      </c>
    </row>
    <row r="11" customFormat="false" ht="15" hidden="false" customHeight="false" outlineLevel="0" collapsed="false">
      <c r="A11" s="7" t="s">
        <v>140</v>
      </c>
      <c r="B11" s="29" t="n">
        <f aca="false">(Headroom-MAX('The ledger'!$Q$17:$Q$21))/Headroom</f>
        <v>0.138879319614124</v>
      </c>
    </row>
    <row r="12" customFormat="false" ht="15" hidden="false" customHeight="false" outlineLevel="0" collapsed="false">
      <c r="A12" s="7" t="s">
        <v>141</v>
      </c>
      <c r="B12" s="24" t="n">
        <f aca="false">MAX('The ledger'!$P$17:$P$21)-Headroom</f>
        <v>7749501.54291332</v>
      </c>
    </row>
    <row r="13" customFormat="false" ht="15" hidden="false" customHeight="false" outlineLevel="0" collapsed="false">
      <c r="A13" s="7" t="s">
        <v>142</v>
      </c>
      <c r="B13" s="24" t="n">
        <f aca="false">Headroom-MAX('The ledger'!$Q$17:$Q$21)</f>
        <v>4999655.50610847</v>
      </c>
    </row>
    <row r="14" customFormat="false" ht="15" hidden="false" customHeight="false" outlineLevel="0" collapsed="false">
      <c r="A14" s="7" t="s">
        <v>143</v>
      </c>
      <c r="B14" s="26" t="n">
        <f aca="false">MATCH(MAX('The ledger'!$P$17:$P$21),'The ledger'!$P$17:$P$21,0)</f>
        <v>2</v>
      </c>
    </row>
    <row r="15" customFormat="false" ht="15" hidden="false" customHeight="false" outlineLevel="0" collapsed="false">
      <c r="A15" s="9" t="s">
        <v>144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70"/>
    <col collapsed="false" customWidth="true" hidden="false" outlineLevel="0" max="2" min="2" style="0" width="22"/>
  </cols>
  <sheetData>
    <row r="1" customFormat="false" ht="24" hidden="false" customHeight="true" outlineLevel="0" collapsed="false">
      <c r="A1" s="1" t="s">
        <v>145</v>
      </c>
    </row>
    <row r="2" customFormat="false" ht="15" hidden="false" customHeight="false" outlineLevel="0" collapsed="false">
      <c r="A2" s="2" t="s">
        <v>146</v>
      </c>
    </row>
    <row r="3" customFormat="false" ht="15" hidden="false" customHeight="false" outlineLevel="0" collapsed="false">
      <c r="A3" s="3"/>
      <c r="B3" s="3"/>
    </row>
    <row r="5" customFormat="false" ht="15" hidden="false" customHeight="false" outlineLevel="0" collapsed="false">
      <c r="A5" s="7" t="s">
        <v>147</v>
      </c>
      <c r="B5" s="26" t="n">
        <f aca="false">'Two conventions'!$B$14</f>
        <v>2</v>
      </c>
    </row>
    <row r="6" customFormat="false" ht="15" hidden="false" customHeight="false" outlineLevel="0" collapsed="false">
      <c r="A6" s="7" t="s">
        <v>148</v>
      </c>
      <c r="B6" s="24" t="n">
        <f aca="false">INDEX('The ledger'!$L$17:$L$21,'Two conventions'!$B$14)</f>
        <v>-46402888.3515603</v>
      </c>
    </row>
    <row r="7" customFormat="false" ht="15" hidden="false" customHeight="false" outlineLevel="0" collapsed="false">
      <c r="A7" s="7" t="s">
        <v>149</v>
      </c>
      <c r="B7" s="24" t="n">
        <f aca="false">INDEX('The ledger'!$F$17:$F$21,'Two conventions'!$B$14)</f>
        <v>2653386.80864693</v>
      </c>
    </row>
    <row r="8" customFormat="false" ht="15" hidden="false" customHeight="false" outlineLevel="0" collapsed="false">
      <c r="A8" s="7" t="s">
        <v>150</v>
      </c>
      <c r="B8" s="24" t="n">
        <f aca="false">MAX(0,-(INDEX('The ledger'!$L$17:$L$21,'Two conventions'!$B$14)+INDEX('The ledger'!$F$17:$F$21,'Two conventions'!$B$14)))</f>
        <v>43749501.5429133</v>
      </c>
    </row>
    <row r="9" customFormat="false" ht="15" hidden="false" customHeight="false" outlineLevel="0" collapsed="false">
      <c r="A9" s="7" t="s">
        <v>151</v>
      </c>
      <c r="B9" s="24" t="n">
        <f aca="false">MAX(0,-INDEX('The ledger'!$L$17:$L$21,'Two conventions'!$B$14))+MAX(0,-INDEX('The ledger'!$F$17:$F$21,'Two conventions'!$B$14))</f>
        <v>46402888.3515603</v>
      </c>
    </row>
    <row r="10" customFormat="false" ht="15" hidden="false" customHeight="false" outlineLevel="0" collapsed="false">
      <c r="A10" s="7" t="s">
        <v>152</v>
      </c>
      <c r="B10" s="24" t="n">
        <f aca="false">'One agreement or two'!$B$9-'One agreement or two'!$B$8</f>
        <v>2653386.80864693</v>
      </c>
    </row>
    <row r="11" customFormat="false" ht="15" hidden="false" customHeight="false" outlineLevel="0" collapsed="false">
      <c r="A11" s="9" t="s">
        <v>153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0"/>
    <col collapsed="false" customWidth="true" hidden="false" outlineLevel="0" max="2" min="2" style="0" width="16"/>
    <col collapsed="false" customWidth="true" hidden="false" outlineLevel="0" max="3" min="3" style="0" width="14"/>
    <col collapsed="false" customWidth="true" hidden="false" outlineLevel="0" max="5" min="4" style="0" width="20"/>
  </cols>
  <sheetData>
    <row r="1" customFormat="false" ht="24" hidden="false" customHeight="true" outlineLevel="0" collapsed="false">
      <c r="A1" s="1" t="s">
        <v>154</v>
      </c>
    </row>
    <row r="2" customFormat="false" ht="15" hidden="false" customHeight="false" outlineLevel="0" collapsed="false">
      <c r="A2" s="2" t="s">
        <v>155</v>
      </c>
    </row>
    <row r="3" customFormat="false" ht="15" hidden="false" customHeight="false" outlineLevel="0" collapsed="false">
      <c r="A3" s="3"/>
      <c r="B3" s="3"/>
      <c r="C3" s="3"/>
      <c r="D3" s="3"/>
      <c r="E3" s="3"/>
    </row>
    <row r="5" customFormat="false" ht="15" hidden="false" customHeight="false" outlineLevel="0" collapsed="false">
      <c r="A5" s="9" t="s">
        <v>156</v>
      </c>
    </row>
    <row r="7" customFormat="false" ht="30" hidden="false" customHeight="true" outlineLevel="0" collapsed="false">
      <c r="A7" s="11" t="s">
        <v>157</v>
      </c>
      <c r="B7" s="12" t="s">
        <v>158</v>
      </c>
      <c r="C7" s="12" t="s">
        <v>159</v>
      </c>
      <c r="D7" s="12" t="s">
        <v>160</v>
      </c>
      <c r="E7" s="12" t="s">
        <v>161</v>
      </c>
    </row>
    <row r="8" customFormat="false" ht="15" hidden="false" customHeight="false" outlineLevel="0" collapsed="false">
      <c r="A8" s="7" t="s">
        <v>162</v>
      </c>
      <c r="B8" s="30" t="n">
        <v>-0.02</v>
      </c>
      <c r="C8" s="17" t="n">
        <f aca="false">INDEX(ParG,5)+B8</f>
        <v>0.0236</v>
      </c>
      <c r="D8" s="24" t="n">
        <f aca="false">Notional*(C8-SwapPaid)*(1-(1+C8)^-5)/C8</f>
        <v>-11335004.9864362</v>
      </c>
      <c r="E8" s="24" t="n">
        <f aca="false">MAX(0,-D8)</f>
        <v>11335004.9864362</v>
      </c>
    </row>
    <row r="9" customFormat="false" ht="15" hidden="false" customHeight="false" outlineLevel="0" collapsed="false">
      <c r="A9" s="20" t="s">
        <v>163</v>
      </c>
      <c r="B9" s="31" t="n">
        <v>-0.01</v>
      </c>
      <c r="C9" s="21" t="n">
        <f aca="false">INDEX(ParG,5)+B9</f>
        <v>0.0336</v>
      </c>
      <c r="D9" s="28" t="n">
        <f aca="false">Notional*(C9-SwapPaid)*(1-(1+C9)^-5)/C9</f>
        <v>-5575602.71605491</v>
      </c>
      <c r="E9" s="28" t="n">
        <f aca="false">MAX(0,-D9)</f>
        <v>5575602.71605491</v>
      </c>
    </row>
    <row r="10" customFormat="false" ht="15" hidden="false" customHeight="false" outlineLevel="0" collapsed="false">
      <c r="A10" s="7" t="s">
        <v>164</v>
      </c>
      <c r="B10" s="30" t="n">
        <v>0</v>
      </c>
      <c r="C10" s="17" t="n">
        <f aca="false">INDEX(ParG,5)+B10</f>
        <v>0.0436</v>
      </c>
      <c r="D10" s="24" t="n">
        <f aca="false">Notional*(C10-SwapPaid)*(1-(1+C10)^-5)/C10</f>
        <v>-132214.686921645</v>
      </c>
      <c r="E10" s="24" t="n">
        <f aca="false">MAX(0,-D10)</f>
        <v>132214.686921645</v>
      </c>
    </row>
    <row r="11" customFormat="false" ht="15" hidden="false" customHeight="false" outlineLevel="0" collapsed="false">
      <c r="A11" s="20" t="s">
        <v>165</v>
      </c>
      <c r="B11" s="31" t="n">
        <v>0.01</v>
      </c>
      <c r="C11" s="21" t="n">
        <f aca="false">INDEX(ParG,5)+B11</f>
        <v>0.0536</v>
      </c>
      <c r="D11" s="28" t="n">
        <f aca="false">Notional*(C11-SwapPaid)*(1-(1+C11)^-5)/C11</f>
        <v>5015472.43972777</v>
      </c>
      <c r="E11" s="28" t="n">
        <f aca="false">MAX(0,-D11)</f>
        <v>0</v>
      </c>
    </row>
    <row r="12" customFormat="false" ht="15" hidden="false" customHeight="false" outlineLevel="0" collapsed="false">
      <c r="A12" s="7" t="s">
        <v>166</v>
      </c>
      <c r="B12" s="30" t="n">
        <v>0.02</v>
      </c>
      <c r="C12" s="17" t="n">
        <f aca="false">INDEX(ParG,5)+B12</f>
        <v>0.0636</v>
      </c>
      <c r="D12" s="24" t="n">
        <f aca="false">Notional*(C12-SwapPaid)*(1-(1+C12)^-5)/C12</f>
        <v>9886285.3505349</v>
      </c>
      <c r="E12" s="24" t="n">
        <f aca="false">MAX(0,-D12)</f>
        <v>0</v>
      </c>
    </row>
    <row r="14" customFormat="false" ht="15" hidden="false" customHeight="false" outlineLevel="0" collapsed="false">
      <c r="A14" s="9" t="s">
        <v>167</v>
      </c>
    </row>
    <row r="16" customFormat="false" ht="15" hidden="false" customHeight="false" outlineLevel="0" collapsed="false">
      <c r="A16" s="32" t="s">
        <v>168</v>
      </c>
    </row>
    <row r="17" customFormat="false" ht="15" hidden="false" customHeight="false" outlineLevel="0" collapsed="false">
      <c r="A17" s="7" t="s">
        <v>169</v>
      </c>
      <c r="B17" s="18" t="n">
        <f aca="false">(1-(1+INDEX(ParG,5))^-5)/INDEX(ParG,5)</f>
        <v>4.40715623072075</v>
      </c>
    </row>
    <row r="18" customFormat="false" ht="15" hidden="false" customHeight="false" outlineLevel="0" collapsed="false">
      <c r="A18" s="7" t="s">
        <v>170</v>
      </c>
      <c r="B18" s="18" t="n">
        <f aca="false">Ann</f>
        <v>4.42668382343474</v>
      </c>
    </row>
    <row r="19" customFormat="false" ht="15" hidden="false" customHeight="false" outlineLevel="0" collapsed="false">
      <c r="A19" s="7" t="s">
        <v>171</v>
      </c>
      <c r="B19" s="24" t="n">
        <f aca="false">Notional*BoIrs*Ann</f>
        <v>132800.514703042</v>
      </c>
    </row>
    <row r="20" customFormat="false" ht="15" hidden="false" customHeight="false" outlineLevel="0" collapsed="false">
      <c r="A20" s="7" t="s">
        <v>172</v>
      </c>
      <c r="B20" s="24" t="n">
        <f aca="false">Notional*BoIrs*B17</f>
        <v>132214.686921622</v>
      </c>
    </row>
    <row r="21" customFormat="false" ht="15" hidden="false" customHeight="false" outlineLevel="0" collapsed="false">
      <c r="A21" s="7" t="s">
        <v>173</v>
      </c>
      <c r="B21" s="24" t="n">
        <f aca="false">B19-B20</f>
        <v>585.827781419677</v>
      </c>
    </row>
    <row r="22" customFormat="false" ht="15" hidden="false" customHeight="false" outlineLevel="0" collapsed="false">
      <c r="A22" s="7" t="s">
        <v>174</v>
      </c>
      <c r="B22" s="24" t="n">
        <f aca="false">-D8-D12</f>
        <v>1448719.63590135</v>
      </c>
    </row>
    <row r="23" customFormat="false" ht="15" hidden="false" customHeight="false" outlineLevel="0" collapsed="false">
      <c r="A23" s="7" t="s">
        <v>175</v>
      </c>
      <c r="B23" s="24" t="n">
        <f aca="false">-D9-D11</f>
        <v>560130.276327139</v>
      </c>
    </row>
    <row r="24" customFormat="false" ht="15" hidden="false" customHeight="false" outlineLevel="0" collapsed="false">
      <c r="A24" s="7" t="s">
        <v>176</v>
      </c>
      <c r="B24" s="24" t="n">
        <f aca="false">E8-2*E9</f>
        <v>183799.554326424</v>
      </c>
    </row>
    <row r="25" customFormat="false" ht="15" hidden="false" customHeight="false" outlineLevel="0" collapsed="false">
      <c r="A25" s="7" t="s">
        <v>177</v>
      </c>
      <c r="B25" s="33" t="n">
        <f aca="false">E8/Headroom</f>
        <v>0.314861249623229</v>
      </c>
    </row>
    <row r="26" customFormat="false" ht="15" hidden="false" customHeight="false" outlineLevel="0" collapsed="false">
      <c r="A26" s="9" t="s">
        <v>178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7" min="2" style="0" width="12"/>
    <col collapsed="false" customWidth="true" hidden="false" outlineLevel="0" max="8" min="8" style="0" width="14"/>
    <col collapsed="false" customWidth="true" hidden="false" outlineLevel="0" max="10" min="9" style="0" width="18"/>
  </cols>
  <sheetData>
    <row r="1" customFormat="false" ht="24" hidden="false" customHeight="true" outlineLevel="0" collapsed="false">
      <c r="A1" s="1" t="s">
        <v>179</v>
      </c>
    </row>
    <row r="2" customFormat="false" ht="15" hidden="false" customHeight="false" outlineLevel="0" collapsed="false">
      <c r="A2" s="2" t="s">
        <v>180</v>
      </c>
    </row>
    <row r="3" customFormat="false" ht="15" hidden="false" customHeight="false" outlineLevel="0" collapsed="false">
      <c r="A3" s="3"/>
      <c r="B3" s="3"/>
      <c r="C3" s="3"/>
      <c r="D3" s="3"/>
      <c r="E3" s="3"/>
      <c r="F3" s="3"/>
      <c r="G3" s="3"/>
      <c r="H3" s="3"/>
      <c r="I3" s="3"/>
      <c r="J3" s="3"/>
    </row>
    <row r="5" customFormat="false" ht="15" hidden="false" customHeight="false" outlineLevel="0" collapsed="false">
      <c r="A5" s="4" t="s">
        <v>181</v>
      </c>
      <c r="B5" s="6"/>
      <c r="C5" s="6"/>
      <c r="D5" s="6"/>
      <c r="E5" s="6"/>
      <c r="F5" s="6"/>
      <c r="G5" s="6"/>
      <c r="H5" s="6"/>
      <c r="I5" s="6"/>
      <c r="J5" s="6"/>
    </row>
    <row r="7" customFormat="false" ht="30" hidden="false" customHeight="true" outlineLevel="0" collapsed="false">
      <c r="A7" s="11" t="s">
        <v>182</v>
      </c>
      <c r="B7" s="12" t="s">
        <v>105</v>
      </c>
      <c r="C7" s="12" t="s">
        <v>106</v>
      </c>
      <c r="D7" s="12" t="s">
        <v>107</v>
      </c>
      <c r="E7" s="12" t="s">
        <v>183</v>
      </c>
      <c r="F7" s="12" t="s">
        <v>184</v>
      </c>
      <c r="G7" s="12" t="s">
        <v>185</v>
      </c>
    </row>
    <row r="8" customFormat="false" ht="15" hidden="false" customHeight="false" outlineLevel="0" collapsed="false">
      <c r="A8" s="7" t="s">
        <v>186</v>
      </c>
      <c r="B8" s="34" t="n">
        <f aca="false">0+0.75</f>
        <v>0.75</v>
      </c>
      <c r="C8" s="18" t="n">
        <f aca="false">INDEX(DFG,1)^0.75</f>
        <v>0.972064592781695</v>
      </c>
      <c r="D8" s="18" t="n">
        <f aca="false">INDEX(DFU,1)^0.75</f>
        <v>0.963724627810527</v>
      </c>
      <c r="E8" s="18" t="n">
        <f aca="false">Spot*C8/D8</f>
        <v>1.26081735997309</v>
      </c>
      <c r="F8" s="24" t="n">
        <f aca="false">Hedged*C8/E8</f>
        <v>104082259.803537</v>
      </c>
      <c r="G8" s="24" t="n">
        <f aca="false">Hedged*D8</f>
        <v>130102824.754421</v>
      </c>
    </row>
    <row r="9" customFormat="false" ht="15" hidden="false" customHeight="false" outlineLevel="0" collapsed="false">
      <c r="A9" s="20" t="s">
        <v>116</v>
      </c>
      <c r="B9" s="35" t="n">
        <f aca="false">1+0.75</f>
        <v>1.75</v>
      </c>
      <c r="C9" s="22" t="n">
        <f aca="false">INDEX(DFG,1)*(INDEX(DFG,2)/INDEX(DFG,1))^0.75</f>
        <v>0.934237781731485</v>
      </c>
      <c r="D9" s="22" t="n">
        <f aca="false">INDEX(DFU,1)*(INDEX(DFU,2)/INDEX(DFU,1))^0.75</f>
        <v>0.916456476450773</v>
      </c>
      <c r="E9" s="22" t="n">
        <f aca="false">Spot*C9/D9</f>
        <v>1.27425279560135</v>
      </c>
      <c r="F9" s="28" t="n">
        <f aca="false">Hedged*C9/E9</f>
        <v>98977299.4566835</v>
      </c>
      <c r="G9" s="28" t="n">
        <f aca="false">Hedged*D9</f>
        <v>123721624.320854</v>
      </c>
    </row>
    <row r="10" customFormat="false" ht="15" hidden="false" customHeight="false" outlineLevel="0" collapsed="false">
      <c r="A10" s="7" t="s">
        <v>117</v>
      </c>
      <c r="B10" s="34" t="n">
        <f aca="false">2+0.75</f>
        <v>2.75</v>
      </c>
      <c r="C10" s="18" t="n">
        <f aca="false">INDEX(DFG,2)*(INDEX(DFG,3)/INDEX(DFG,2))^0.75</f>
        <v>0.895356517101025</v>
      </c>
      <c r="D10" s="18" t="n">
        <f aca="false">INDEX(DFU,2)*(INDEX(DFU,3)/INDEX(DFU,2))^0.75</f>
        <v>0.869900607747469</v>
      </c>
      <c r="E10" s="18" t="n">
        <f aca="false">Spot*C10/D10</f>
        <v>1.28657876130739</v>
      </c>
      <c r="F10" s="24" t="n">
        <f aca="false">Hedged*C10/E10</f>
        <v>93949265.6367266</v>
      </c>
      <c r="G10" s="24" t="n">
        <f aca="false">Hedged*D10</f>
        <v>117436582.045908</v>
      </c>
    </row>
    <row r="11" customFormat="false" ht="15" hidden="false" customHeight="false" outlineLevel="0" collapsed="false">
      <c r="A11" s="20" t="s">
        <v>118</v>
      </c>
      <c r="B11" s="35" t="n">
        <f aca="false">3+0.75</f>
        <v>3.75</v>
      </c>
      <c r="C11" s="22" t="n">
        <f aca="false">INDEX(DFG,3)*(INDEX(DFG,4)/INDEX(DFG,3))^0.75</f>
        <v>0.855886298972812</v>
      </c>
      <c r="D11" s="22" t="n">
        <f aca="false">INDEX(DFU,3)*(INDEX(DFU,4)/INDEX(DFU,3))^0.75</f>
        <v>0.824147421190167</v>
      </c>
      <c r="E11" s="22" t="n">
        <f aca="false">Spot*C11/D11</f>
        <v>1.298138956949</v>
      </c>
      <c r="F11" s="28" t="n">
        <f aca="false">Hedged*C11/E11</f>
        <v>89007921.4885381</v>
      </c>
      <c r="G11" s="28" t="n">
        <f aca="false">Hedged*D11</f>
        <v>111259901.860673</v>
      </c>
    </row>
    <row r="12" customFormat="false" ht="15" hidden="false" customHeight="false" outlineLevel="0" collapsed="false">
      <c r="A12" s="7" t="s">
        <v>119</v>
      </c>
      <c r="B12" s="34" t="n">
        <f aca="false">4+0.75</f>
        <v>4.75</v>
      </c>
      <c r="C12" s="18" t="n">
        <f aca="false">INDEX(DFG,4)*(INDEX(DFG,5)/INDEX(DFG,4))^0.75</f>
        <v>0.816614934354186</v>
      </c>
      <c r="D12" s="18" t="n">
        <f aca="false">INDEX(DFU,4)*(INDEX(DFU,5)/INDEX(DFU,4))^0.75</f>
        <v>0.77962687298367</v>
      </c>
      <c r="E12" s="18" t="n">
        <f aca="false">Spot*C12/D12</f>
        <v>1.30930410856183</v>
      </c>
      <c r="F12" s="24" t="n">
        <f aca="false">Hedged*C12/E12</f>
        <v>84199702.2822364</v>
      </c>
      <c r="G12" s="24" t="n">
        <f aca="false">Hedged*D12</f>
        <v>105249627.852796</v>
      </c>
    </row>
    <row r="13" customFormat="false" ht="15" hidden="false" customHeight="false" outlineLevel="0" collapsed="false">
      <c r="A13" s="7" t="s">
        <v>187</v>
      </c>
      <c r="B13" s="24" t="n">
        <f aca="false">Notional*(INDEX(ParG,5)-SwapPaid)*(1-(1+INDEX(ParG,5))^-5)/INDEX(ParG,5)</f>
        <v>-132214.686921645</v>
      </c>
    </row>
    <row r="14" customFormat="false" ht="15" hidden="false" customHeight="false" outlineLevel="0" collapsed="false">
      <c r="A14" s="9" t="s">
        <v>188</v>
      </c>
    </row>
    <row r="16" customFormat="false" ht="15" hidden="false" customHeight="false" outlineLevel="0" collapsed="false">
      <c r="A16" s="4" t="s">
        <v>189</v>
      </c>
      <c r="B16" s="6"/>
      <c r="C16" s="6"/>
      <c r="D16" s="6"/>
      <c r="E16" s="6"/>
      <c r="F16" s="6"/>
      <c r="G16" s="6"/>
      <c r="H16" s="6"/>
      <c r="I16" s="6"/>
      <c r="J16" s="6"/>
    </row>
    <row r="18" customFormat="false" ht="30" hidden="false" customHeight="true" outlineLevel="0" collapsed="false">
      <c r="A18" s="11" t="s">
        <v>190</v>
      </c>
      <c r="B18" s="12" t="s">
        <v>191</v>
      </c>
      <c r="C18" s="12" t="s">
        <v>110</v>
      </c>
      <c r="D18" s="12" t="s">
        <v>192</v>
      </c>
      <c r="E18" s="12" t="s">
        <v>193</v>
      </c>
      <c r="F18" s="12" t="s">
        <v>123</v>
      </c>
      <c r="G18" s="12" t="s">
        <v>194</v>
      </c>
      <c r="H18" s="12" t="s">
        <v>195</v>
      </c>
      <c r="I18" s="12" t="s">
        <v>196</v>
      </c>
    </row>
    <row r="19" customFormat="false" ht="15" hidden="false" customHeight="false" outlineLevel="0" collapsed="false">
      <c r="A19" s="7" t="s">
        <v>162</v>
      </c>
      <c r="B19" s="36" t="n">
        <v>0.05</v>
      </c>
      <c r="C19" s="19" t="n">
        <f aca="false">Spot*(1-B19)</f>
        <v>1.1875</v>
      </c>
      <c r="D19" s="24" t="n">
        <f aca="false">'Currency shock'!$F$8-'Currency shock'!$G$8/C19</f>
        <v>-5478013.67387037</v>
      </c>
      <c r="E19" s="24" t="n">
        <f aca="false">SUM('Currency shock'!$F$8:$F$12)-SUM('Currency shock'!$G$8:$G$12)/C19</f>
        <v>-24748234.1404064</v>
      </c>
      <c r="F19" s="24" t="n">
        <f aca="false">-(D19+'Currency shock'!$B$13)</f>
        <v>5610228.36079202</v>
      </c>
      <c r="G19" s="24" t="n">
        <f aca="false">-(E19+'Currency shock'!$B$13)</f>
        <v>24880448.827328</v>
      </c>
      <c r="H19" s="37" t="n">
        <f aca="false">G19/F19</f>
        <v>4.43483709169649</v>
      </c>
      <c r="I19" s="24" t="n">
        <f aca="false">Opened/4*(1/C19-1/Spot)</f>
        <v>473684.210526315</v>
      </c>
    </row>
    <row r="20" customFormat="false" ht="15" hidden="false" customHeight="false" outlineLevel="0" collapsed="false">
      <c r="A20" s="20" t="s">
        <v>163</v>
      </c>
      <c r="B20" s="38" t="n">
        <v>0.08</v>
      </c>
      <c r="C20" s="23" t="n">
        <f aca="false">Spot*(1-B20)</f>
        <v>1.15</v>
      </c>
      <c r="D20" s="28" t="n">
        <f aca="false">'Currency shock'!$F$8-'Currency shock'!$G$8/C20</f>
        <v>-9050631.28726408</v>
      </c>
      <c r="E20" s="28" t="n">
        <f aca="false">SUM('Currency shock'!$F$8:$F$12)-SUM('Currency shock'!$G$8:$G$12)/C20</f>
        <v>-40888386.8406713</v>
      </c>
      <c r="F20" s="28" t="n">
        <f aca="false">-(D20+'Currency shock'!$B$13)</f>
        <v>9182845.97418572</v>
      </c>
      <c r="G20" s="28" t="n">
        <f aca="false">-(E20+'Currency shock'!$B$13)</f>
        <v>41020601.5275929</v>
      </c>
      <c r="H20" s="39" t="n">
        <f aca="false">G20/F20</f>
        <v>4.46709022920646</v>
      </c>
      <c r="I20" s="28" t="n">
        <f aca="false">Opened/4*(1/C20-1/Spot)</f>
        <v>782608.695652172</v>
      </c>
    </row>
    <row r="21" customFormat="false" ht="15" hidden="false" customHeight="false" outlineLevel="0" collapsed="false">
      <c r="A21" s="7" t="s">
        <v>164</v>
      </c>
      <c r="B21" s="36" t="n">
        <v>0.1</v>
      </c>
      <c r="C21" s="19" t="n">
        <f aca="false">Spot*(1-B21)</f>
        <v>1.125</v>
      </c>
      <c r="D21" s="24" t="n">
        <f aca="false">'Currency shock'!$F$8-'Currency shock'!$G$8/C21</f>
        <v>-11564695.5337263</v>
      </c>
      <c r="E21" s="24" t="n">
        <f aca="false">SUM('Currency shock'!$F$8:$F$12)-SUM('Currency shock'!$G$8:$G$12)/C21</f>
        <v>-52246272.0741912</v>
      </c>
      <c r="F21" s="24" t="n">
        <f aca="false">-(D21+'Currency shock'!$B$13)</f>
        <v>11696910.220648</v>
      </c>
      <c r="G21" s="24" t="n">
        <f aca="false">-(E21+'Currency shock'!$B$13)</f>
        <v>52378486.7611129</v>
      </c>
      <c r="H21" s="37" t="n">
        <f aca="false">G21/F21</f>
        <v>4.47797630083983</v>
      </c>
      <c r="I21" s="24" t="n">
        <f aca="false">Opened/4*(1/C21-1/Spot)</f>
        <v>999999.999999999</v>
      </c>
    </row>
    <row r="22" customFormat="false" ht="15" hidden="false" customHeight="false" outlineLevel="0" collapsed="false">
      <c r="A22" s="20" t="s">
        <v>165</v>
      </c>
      <c r="B22" s="38" t="n">
        <v>0.15</v>
      </c>
      <c r="C22" s="23" t="n">
        <f aca="false">Spot*(1-B22)</f>
        <v>1.0625</v>
      </c>
      <c r="D22" s="28" t="n">
        <f aca="false">'Currency shock'!$F$8-'Currency shock'!$G$8/C22</f>
        <v>-18367457.6123889</v>
      </c>
      <c r="E22" s="28" t="n">
        <f aca="false">SUM('Currency shock'!$F$8:$F$12)-SUM('Currency shock'!$G$8:$G$12)/C22</f>
        <v>-82979373.2943038</v>
      </c>
      <c r="F22" s="28" t="n">
        <f aca="false">-(D22+'Currency shock'!$B$13)</f>
        <v>18499672.2993105</v>
      </c>
      <c r="G22" s="28" t="n">
        <f aca="false">-(E22+'Currency shock'!$B$13)</f>
        <v>83111587.9812254</v>
      </c>
      <c r="H22" s="39" t="n">
        <f aca="false">G22/F22</f>
        <v>4.49259784911557</v>
      </c>
      <c r="I22" s="28" t="n">
        <f aca="false">Opened/4*(1/C22-1/Spot)</f>
        <v>1588235.29411765</v>
      </c>
    </row>
    <row r="23" customFormat="false" ht="15" hidden="false" customHeight="false" outlineLevel="0" collapsed="false">
      <c r="A23" s="7" t="s">
        <v>166</v>
      </c>
      <c r="B23" s="36" t="n">
        <v>0.2</v>
      </c>
      <c r="C23" s="19" t="n">
        <f aca="false">Spot*(1-B23)</f>
        <v>1</v>
      </c>
      <c r="D23" s="24" t="n">
        <f aca="false">'Currency shock'!$F$8-'Currency shock'!$G$8/C23</f>
        <v>-26020564.9508842</v>
      </c>
      <c r="E23" s="24" t="n">
        <f aca="false">SUM('Currency shock'!$F$8:$F$12)-SUM('Currency shock'!$G$8:$G$12)/C23</f>
        <v>-117554112.16693</v>
      </c>
      <c r="F23" s="24" t="n">
        <f aca="false">-(D23+'Currency shock'!$B$13)</f>
        <v>26152779.6378059</v>
      </c>
      <c r="G23" s="24" t="n">
        <f aca="false">-(E23+'Currency shock'!$B$13)</f>
        <v>117686326.853852</v>
      </c>
      <c r="H23" s="37" t="n">
        <f aca="false">G23/F23</f>
        <v>4.49995482253547</v>
      </c>
      <c r="I23" s="24" t="n">
        <f aca="false">Opened/4*(1/C23-1/Spot)</f>
        <v>2250000</v>
      </c>
    </row>
    <row r="25" customFormat="false" ht="15" hidden="false" customHeight="false" outlineLevel="0" collapsed="false">
      <c r="A25" s="4" t="s">
        <v>197</v>
      </c>
      <c r="B25" s="6"/>
      <c r="C25" s="6"/>
      <c r="D25" s="6"/>
      <c r="E25" s="6"/>
      <c r="F25" s="6"/>
      <c r="G25" s="6"/>
      <c r="H25" s="6"/>
      <c r="I25" s="6"/>
      <c r="J25" s="6"/>
    </row>
    <row r="27" customFormat="false" ht="15" hidden="false" customHeight="false" outlineLevel="0" collapsed="false">
      <c r="A27" s="7" t="s">
        <v>198</v>
      </c>
      <c r="B27" s="19" t="n">
        <f aca="false">'Currency shock'!$G$8/('Currency shock'!$F$8+Headroom+'Currency shock'!$B$13)</f>
        <v>0.929637604946902</v>
      </c>
    </row>
    <row r="28" customFormat="false" ht="15" hidden="false" customHeight="false" outlineLevel="0" collapsed="false">
      <c r="A28" s="7" t="s">
        <v>199</v>
      </c>
      <c r="B28" s="40" t="n">
        <f aca="false">1-'Currency shock'!$B$27/Spot</f>
        <v>0.256289916042478</v>
      </c>
    </row>
    <row r="29" customFormat="false" ht="15" hidden="false" customHeight="false" outlineLevel="0" collapsed="false">
      <c r="A29" s="7" t="s">
        <v>200</v>
      </c>
      <c r="B29" s="19" t="n">
        <f aca="false">SUM('Currency shock'!$G$8:$G$12)/(SUM('Currency shock'!$F$8:$F$12)+Headroom+'Currency shock'!$B$13)</f>
        <v>1.16140855883084</v>
      </c>
    </row>
    <row r="30" customFormat="false" ht="15" hidden="false" customHeight="false" outlineLevel="0" collapsed="false">
      <c r="A30" s="7" t="s">
        <v>199</v>
      </c>
      <c r="B30" s="40" t="n">
        <f aca="false">1-'Currency shock'!$B$29/Spot</f>
        <v>0.0708731529353257</v>
      </c>
    </row>
    <row r="31" customFormat="false" ht="15" hidden="false" customHeight="false" outlineLevel="0" collapsed="false">
      <c r="A31" s="7" t="s">
        <v>201</v>
      </c>
      <c r="B31" s="37" t="n">
        <f aca="false">MIN('Currency shock'!$H$19:$H$23)</f>
        <v>4.43483709169649</v>
      </c>
    </row>
    <row r="32" customFormat="false" ht="15" hidden="false" customHeight="false" outlineLevel="0" collapsed="false">
      <c r="A32" s="7" t="s">
        <v>202</v>
      </c>
      <c r="B32" s="37" t="n">
        <f aca="false">MAX('Currency shock'!$H$19:$H$23)</f>
        <v>4.49995482253547</v>
      </c>
    </row>
    <row r="33" customFormat="false" ht="15" hidden="false" customHeight="false" outlineLevel="0" collapsed="false">
      <c r="A33" s="9" t="s">
        <v>203</v>
      </c>
    </row>
    <row r="35" customFormat="false" ht="15" hidden="false" customHeight="false" outlineLevel="0" collapsed="false">
      <c r="A35" s="4" t="s">
        <v>204</v>
      </c>
    </row>
    <row r="36" customFormat="false" ht="15" hidden="false" customHeight="false" outlineLevel="0" collapsed="false">
      <c r="A36" s="7" t="s">
        <v>205</v>
      </c>
      <c r="B36" s="24" t="n">
        <f aca="false">Hedged*(1/C21-1/Spot)</f>
        <v>12000000</v>
      </c>
    </row>
    <row r="37" customFormat="false" ht="15" hidden="false" customHeight="false" outlineLevel="0" collapsed="false">
      <c r="A37" s="7" t="s">
        <v>206</v>
      </c>
      <c r="B37" s="24" t="n">
        <f aca="false">-D21</f>
        <v>11564695.5337263</v>
      </c>
    </row>
    <row r="38" customFormat="false" ht="15" hidden="false" customHeight="false" outlineLevel="0" collapsed="false">
      <c r="A38" s="7" t="s">
        <v>207</v>
      </c>
      <c r="B38" s="24" t="n">
        <f aca="false">-B13</f>
        <v>132214.686921645</v>
      </c>
    </row>
    <row r="39" customFormat="false" ht="15" hidden="false" customHeight="false" outlineLevel="0" collapsed="false">
      <c r="A39" s="7" t="s">
        <v>208</v>
      </c>
      <c r="B39" s="24" t="n">
        <f aca="false">B37+B38</f>
        <v>11696910.220648</v>
      </c>
    </row>
    <row r="40" customFormat="false" ht="15" hidden="false" customHeight="false" outlineLevel="0" collapsed="false">
      <c r="A40" s="7" t="s">
        <v>209</v>
      </c>
      <c r="B40" s="19" t="n">
        <f aca="false">Spot-B29</f>
        <v>0.0885914411691571</v>
      </c>
    </row>
    <row r="41" customFormat="false" ht="15" hidden="false" customHeight="false" outlineLevel="0" collapsed="false">
      <c r="A41" s="7" t="s">
        <v>210</v>
      </c>
      <c r="B41" s="19" t="n">
        <f aca="false">Spot-B27</f>
        <v>0.320362395053098</v>
      </c>
    </row>
    <row r="42" customFormat="false" ht="15" hidden="false" customHeight="false" outlineLevel="0" collapsed="false">
      <c r="A42" s="7" t="s">
        <v>211</v>
      </c>
      <c r="B42" s="34" t="n">
        <f aca="false">B28/B30</f>
        <v>3.61617771226224</v>
      </c>
    </row>
    <row r="43" customFormat="false" ht="15" hidden="false" customHeight="false" outlineLevel="0" collapsed="false">
      <c r="A43" s="9" t="s">
        <v>212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7" topLeftCell="A8"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7"/>
    <col collapsed="false" customWidth="true" hidden="false" outlineLevel="0" max="2" min="2" style="0" width="72"/>
    <col collapsed="false" customWidth="true" hidden="false" outlineLevel="0" max="4" min="3" style="0" width="20"/>
    <col collapsed="false" customWidth="true" hidden="false" outlineLevel="0" max="5" min="5" style="0" width="16"/>
    <col collapsed="false" customWidth="true" hidden="false" outlineLevel="0" max="6" min="6" style="0" width="11"/>
  </cols>
  <sheetData>
    <row r="1" customFormat="false" ht="24" hidden="false" customHeight="true" outlineLevel="0" collapsed="false">
      <c r="A1" s="1" t="s">
        <v>213</v>
      </c>
    </row>
    <row r="2" customFormat="false" ht="15" hidden="false" customHeight="false" outlineLevel="0" collapsed="false">
      <c r="A2" s="2" t="s">
        <v>214</v>
      </c>
    </row>
    <row r="3" customFormat="false" ht="15" hidden="false" customHeight="false" outlineLevel="0" collapsed="false">
      <c r="A3" s="3"/>
      <c r="B3" s="3"/>
      <c r="C3" s="3"/>
      <c r="D3" s="3"/>
      <c r="E3" s="3"/>
      <c r="F3" s="3"/>
    </row>
    <row r="5" customFormat="false" ht="15" hidden="false" customHeight="false" outlineLevel="0" collapsed="false">
      <c r="A5" s="9" t="s">
        <v>215</v>
      </c>
    </row>
    <row r="7" customFormat="false" ht="30" hidden="false" customHeight="true" outlineLevel="0" collapsed="false">
      <c r="A7" s="11" t="s">
        <v>216</v>
      </c>
      <c r="B7" s="12" t="s">
        <v>217</v>
      </c>
      <c r="C7" s="12" t="s">
        <v>218</v>
      </c>
      <c r="D7" s="12" t="s">
        <v>219</v>
      </c>
      <c r="E7" s="12" t="s">
        <v>220</v>
      </c>
      <c r="F7" s="12" t="s">
        <v>221</v>
      </c>
    </row>
    <row r="8" customFormat="false" ht="15" hidden="false" customHeight="false" outlineLevel="0" collapsed="false">
      <c r="A8" s="7" t="s">
        <v>222</v>
      </c>
      <c r="B8" s="7" t="s">
        <v>98</v>
      </c>
      <c r="C8" s="24" t="n">
        <v>4329297</v>
      </c>
      <c r="D8" s="24" t="n">
        <f aca="false">Discounting!$B$8</f>
        <v>4329296.77931915</v>
      </c>
      <c r="E8" s="41" t="n">
        <f aca="false">D8-C8</f>
        <v>-0.220680852420628</v>
      </c>
      <c r="F8" s="42" t="str">
        <f aca="false">IF(ABS(E8)&lt;=0.5,"PASS","FAIL")</f>
        <v>PASS</v>
      </c>
    </row>
    <row r="9" customFormat="false" ht="15" hidden="false" customHeight="false" outlineLevel="0" collapsed="false">
      <c r="A9" s="20" t="s">
        <v>222</v>
      </c>
      <c r="B9" s="20" t="s">
        <v>99</v>
      </c>
      <c r="C9" s="28" t="n">
        <v>4347559</v>
      </c>
      <c r="D9" s="28" t="n">
        <f aca="false">Discounting!$B$9</f>
        <v>4347558.63274384</v>
      </c>
      <c r="E9" s="43" t="n">
        <f aca="false">D9-C9</f>
        <v>-0.367256158031523</v>
      </c>
      <c r="F9" s="44" t="str">
        <f aca="false">IF(ABS(E9)&lt;=0.5,"PASS","FAIL")</f>
        <v>PASS</v>
      </c>
    </row>
    <row r="10" customFormat="false" ht="15" hidden="false" customHeight="false" outlineLevel="0" collapsed="false">
      <c r="A10" s="7" t="s">
        <v>222</v>
      </c>
      <c r="B10" s="7" t="s">
        <v>223</v>
      </c>
      <c r="C10" s="24" t="n">
        <v>18262</v>
      </c>
      <c r="D10" s="24" t="n">
        <f aca="false">Discounting!$B$10</f>
        <v>18261.8534246944</v>
      </c>
      <c r="E10" s="41" t="n">
        <f aca="false">D10-C10</f>
        <v>-0.146575305610895</v>
      </c>
      <c r="F10" s="42" t="str">
        <f aca="false">IF(ABS(E10)&lt;=0.5,"PASS","FAIL")</f>
        <v>PASS</v>
      </c>
    </row>
    <row r="11" customFormat="false" ht="15" hidden="false" customHeight="false" outlineLevel="0" collapsed="false">
      <c r="A11" s="20" t="s">
        <v>224</v>
      </c>
      <c r="B11" s="20" t="s">
        <v>225</v>
      </c>
      <c r="C11" s="28" t="n">
        <v>709500</v>
      </c>
      <c r="D11" s="28" t="n">
        <f aca="false">'The ledger'!$F$17</f>
        <v>709499.886549502</v>
      </c>
      <c r="E11" s="43" t="n">
        <f aca="false">D11-C11</f>
        <v>-0.113450498320162</v>
      </c>
      <c r="F11" s="44" t="str">
        <f aca="false">IF(ABS(E11)&lt;=0.5,"PASS","FAIL")</f>
        <v>PASS</v>
      </c>
    </row>
    <row r="12" customFormat="false" ht="15" hidden="false" customHeight="false" outlineLevel="0" collapsed="false">
      <c r="A12" s="7" t="s">
        <v>224</v>
      </c>
      <c r="B12" s="7" t="s">
        <v>226</v>
      </c>
      <c r="C12" s="24" t="n">
        <v>2653387</v>
      </c>
      <c r="D12" s="24" t="n">
        <f aca="false">'The ledger'!$F$18</f>
        <v>2653386.80864693</v>
      </c>
      <c r="E12" s="41" t="n">
        <f aca="false">D12-C12</f>
        <v>-0.191353069152683</v>
      </c>
      <c r="F12" s="42" t="str">
        <f aca="false">IF(ABS(E12)&lt;=0.5,"PASS","FAIL")</f>
        <v>PASS</v>
      </c>
    </row>
    <row r="13" customFormat="false" ht="15" hidden="false" customHeight="false" outlineLevel="0" collapsed="false">
      <c r="A13" s="20" t="s">
        <v>224</v>
      </c>
      <c r="B13" s="20" t="s">
        <v>227</v>
      </c>
      <c r="C13" s="28" t="n">
        <v>1261574</v>
      </c>
      <c r="D13" s="28" t="n">
        <f aca="false">'The ledger'!$F$19</f>
        <v>1261574.00209405</v>
      </c>
      <c r="E13" s="43" t="n">
        <f aca="false">D13-C13</f>
        <v>0.00209405086934567</v>
      </c>
      <c r="F13" s="44" t="str">
        <f aca="false">IF(ABS(E13)&lt;=0.5,"PASS","FAIL")</f>
        <v>PASS</v>
      </c>
    </row>
    <row r="14" customFormat="false" ht="15" hidden="false" customHeight="false" outlineLevel="0" collapsed="false">
      <c r="A14" s="7" t="s">
        <v>224</v>
      </c>
      <c r="B14" s="7" t="s">
        <v>228</v>
      </c>
      <c r="C14" s="24" t="n">
        <v>-97795</v>
      </c>
      <c r="D14" s="24" t="n">
        <f aca="false">'The ledger'!$F$20</f>
        <v>-97794.8226270425</v>
      </c>
      <c r="E14" s="41" t="n">
        <f aca="false">D14-C14</f>
        <v>0.177372957521584</v>
      </c>
      <c r="F14" s="42" t="str">
        <f aca="false">IF(ABS(E14)&lt;=0.5,"PASS","FAIL")</f>
        <v>PASS</v>
      </c>
    </row>
    <row r="15" customFormat="false" ht="15" hidden="false" customHeight="false" outlineLevel="0" collapsed="false">
      <c r="A15" s="20" t="s">
        <v>224</v>
      </c>
      <c r="B15" s="20" t="s">
        <v>229</v>
      </c>
      <c r="C15" s="28" t="n">
        <v>0</v>
      </c>
      <c r="D15" s="28" t="n">
        <f aca="false">'The ledger'!$F$21</f>
        <v>-0</v>
      </c>
      <c r="E15" s="43" t="n">
        <f aca="false">D15-C15</f>
        <v>-0</v>
      </c>
      <c r="F15" s="44" t="str">
        <f aca="false">IF(ABS(E15)&lt;=0.5,"PASS","FAIL")</f>
        <v>PASS</v>
      </c>
    </row>
    <row r="16" customFormat="false" ht="15" hidden="false" customHeight="false" outlineLevel="0" collapsed="false">
      <c r="A16" s="7" t="s">
        <v>224</v>
      </c>
      <c r="B16" s="7" t="s">
        <v>230</v>
      </c>
      <c r="C16" s="24" t="n">
        <v>5969577</v>
      </c>
      <c r="D16" s="24" t="n">
        <f aca="false">'The ledger'!$O$17</f>
        <v>5969576.50364486</v>
      </c>
      <c r="E16" s="41" t="n">
        <f aca="false">D16-C16</f>
        <v>-0.49635514523834</v>
      </c>
      <c r="F16" s="42" t="str">
        <f aca="false">IF(ABS(E16)&lt;=0.5,"PASS","FAIL")</f>
        <v>PASS</v>
      </c>
    </row>
    <row r="17" customFormat="false" ht="15" hidden="false" customHeight="false" outlineLevel="0" collapsed="false">
      <c r="A17" s="20" t="s">
        <v>224</v>
      </c>
      <c r="B17" s="20" t="s">
        <v>231</v>
      </c>
      <c r="C17" s="28" t="n">
        <v>28705093</v>
      </c>
      <c r="D17" s="28" t="n">
        <f aca="false">'The ledger'!$P$17</f>
        <v>28705092.8232578</v>
      </c>
      <c r="E17" s="43" t="n">
        <f aca="false">D17-C17</f>
        <v>-0.176742166280746</v>
      </c>
      <c r="F17" s="44" t="str">
        <f aca="false">IF(ABS(E17)&lt;=0.5,"PASS","FAIL")</f>
        <v>PASS</v>
      </c>
    </row>
    <row r="18" customFormat="false" ht="15" hidden="false" customHeight="false" outlineLevel="0" collapsed="false">
      <c r="A18" s="7" t="s">
        <v>224</v>
      </c>
      <c r="B18" s="7" t="s">
        <v>232</v>
      </c>
      <c r="C18" s="24" t="n">
        <v>43749502</v>
      </c>
      <c r="D18" s="24" t="n">
        <f aca="false">'The ledger'!$P$18</f>
        <v>43749501.5429133</v>
      </c>
      <c r="E18" s="41" t="n">
        <f aca="false">D18-C18</f>
        <v>-0.457086682319641</v>
      </c>
      <c r="F18" s="42" t="str">
        <f aca="false">IF(ABS(E18)&lt;=0.5,"PASS","FAIL")</f>
        <v>PASS</v>
      </c>
    </row>
    <row r="19" customFormat="false" ht="15" hidden="false" customHeight="false" outlineLevel="0" collapsed="false">
      <c r="A19" s="20" t="s">
        <v>224</v>
      </c>
      <c r="B19" s="20" t="s">
        <v>233</v>
      </c>
      <c r="C19" s="28" t="n">
        <v>27211004</v>
      </c>
      <c r="D19" s="28" t="n">
        <f aca="false">'The ledger'!$P$19</f>
        <v>27211004.3479011</v>
      </c>
      <c r="E19" s="43" t="n">
        <f aca="false">D19-C19</f>
        <v>0.347901120781899</v>
      </c>
      <c r="F19" s="44" t="str">
        <f aca="false">IF(ABS(E19)&lt;=0.5,"PASS","FAIL")</f>
        <v>PASS</v>
      </c>
    </row>
    <row r="20" customFormat="false" ht="15" hidden="false" customHeight="false" outlineLevel="0" collapsed="false">
      <c r="A20" s="7" t="s">
        <v>224</v>
      </c>
      <c r="B20" s="7" t="s">
        <v>234</v>
      </c>
      <c r="C20" s="24" t="n">
        <v>13247866</v>
      </c>
      <c r="D20" s="24" t="n">
        <f aca="false">'The ledger'!$P$20</f>
        <v>13247865.6574486</v>
      </c>
      <c r="E20" s="41" t="n">
        <f aca="false">D20-C20</f>
        <v>-0.342551367357373</v>
      </c>
      <c r="F20" s="42" t="str">
        <f aca="false">IF(ABS(E20)&lt;=0.5,"PASS","FAIL")</f>
        <v>PASS</v>
      </c>
    </row>
    <row r="21" customFormat="false" ht="15" hidden="false" customHeight="false" outlineLevel="0" collapsed="false">
      <c r="A21" s="20" t="s">
        <v>224</v>
      </c>
      <c r="B21" s="20" t="s">
        <v>235</v>
      </c>
      <c r="C21" s="28" t="n">
        <v>4253207</v>
      </c>
      <c r="D21" s="28" t="n">
        <f aca="false">'The ledger'!$P$21</f>
        <v>4253207.35663087</v>
      </c>
      <c r="E21" s="43" t="n">
        <f aca="false">D21-C21</f>
        <v>0.356630870141089</v>
      </c>
      <c r="F21" s="44" t="str">
        <f aca="false">IF(ABS(E21)&lt;=0.5,"PASS","FAIL")</f>
        <v>PASS</v>
      </c>
    </row>
    <row r="22" customFormat="false" ht="15" hidden="false" customHeight="false" outlineLevel="0" collapsed="false">
      <c r="A22" s="7" t="s">
        <v>236</v>
      </c>
      <c r="B22" s="7" t="s">
        <v>86</v>
      </c>
      <c r="C22" s="24" t="n">
        <v>36000000</v>
      </c>
      <c r="D22" s="24" t="n">
        <f aca="false">'Two conventions'!$B$5</f>
        <v>36000000</v>
      </c>
      <c r="E22" s="41" t="n">
        <f aca="false">D22-C22</f>
        <v>0</v>
      </c>
      <c r="F22" s="42" t="str">
        <f aca="false">IF(ABS(E22)&lt;=0.5,"PASS","FAIL")</f>
        <v>PASS</v>
      </c>
    </row>
    <row r="23" customFormat="false" ht="15" hidden="false" customHeight="false" outlineLevel="0" collapsed="false">
      <c r="A23" s="20" t="s">
        <v>236</v>
      </c>
      <c r="B23" s="20" t="s">
        <v>135</v>
      </c>
      <c r="C23" s="28" t="n">
        <v>5969577</v>
      </c>
      <c r="D23" s="28" t="n">
        <f aca="false">'Two conventions'!$B$6</f>
        <v>5969576.50364486</v>
      </c>
      <c r="E23" s="43" t="n">
        <f aca="false">D23-C23</f>
        <v>-0.49635514523834</v>
      </c>
      <c r="F23" s="44" t="str">
        <f aca="false">IF(ABS(E23)&lt;=0.5,"PASS","FAIL")</f>
        <v>PASS</v>
      </c>
    </row>
    <row r="24" customFormat="false" ht="15" hidden="false" customHeight="false" outlineLevel="0" collapsed="false">
      <c r="A24" s="7" t="s">
        <v>236</v>
      </c>
      <c r="B24" s="7" t="s">
        <v>136</v>
      </c>
      <c r="C24" s="29" t="n">
        <v>0.834</v>
      </c>
      <c r="D24" s="29" t="n">
        <f aca="false">'Two conventions'!$B$7</f>
        <v>0.83417843045431</v>
      </c>
      <c r="E24" s="41" t="n">
        <f aca="false">D24-C24</f>
        <v>0.000178430454309653</v>
      </c>
      <c r="F24" s="42" t="str">
        <f aca="false">IF(ABS(E24)&lt;=0.0005,"PASS","FAIL")</f>
        <v>PASS</v>
      </c>
    </row>
    <row r="25" customFormat="false" ht="15" hidden="false" customHeight="false" outlineLevel="0" collapsed="false">
      <c r="A25" s="20" t="s">
        <v>236</v>
      </c>
      <c r="B25" s="20" t="s">
        <v>137</v>
      </c>
      <c r="C25" s="28" t="n">
        <v>43749502</v>
      </c>
      <c r="D25" s="28" t="n">
        <f aca="false">'Two conventions'!$B$8</f>
        <v>43749501.5429133</v>
      </c>
      <c r="E25" s="43" t="n">
        <f aca="false">D25-C25</f>
        <v>-0.457086682319641</v>
      </c>
      <c r="F25" s="44" t="str">
        <f aca="false">IF(ABS(E25)&lt;=0.5,"PASS","FAIL")</f>
        <v>PASS</v>
      </c>
    </row>
    <row r="26" customFormat="false" ht="15" hidden="false" customHeight="false" outlineLevel="0" collapsed="false">
      <c r="A26" s="7" t="s">
        <v>236</v>
      </c>
      <c r="B26" s="7" t="s">
        <v>138</v>
      </c>
      <c r="C26" s="29" t="n">
        <v>-0.215</v>
      </c>
      <c r="D26" s="29" t="n">
        <f aca="false">'Two conventions'!$B$9</f>
        <v>-0.215263931747592</v>
      </c>
      <c r="E26" s="41" t="n">
        <f aca="false">D26-C26</f>
        <v>-0.00026393174759215</v>
      </c>
      <c r="F26" s="42" t="str">
        <f aca="false">IF(ABS(E26)&lt;=0.0005,"PASS","FAIL")</f>
        <v>PASS</v>
      </c>
    </row>
    <row r="27" customFormat="false" ht="15" hidden="false" customHeight="false" outlineLevel="0" collapsed="false">
      <c r="A27" s="20" t="s">
        <v>236</v>
      </c>
      <c r="B27" s="20" t="s">
        <v>139</v>
      </c>
      <c r="C27" s="28" t="n">
        <v>31000344</v>
      </c>
      <c r="D27" s="28" t="n">
        <f aca="false">'Two conventions'!$B$10</f>
        <v>31000344.4938915</v>
      </c>
      <c r="E27" s="43" t="n">
        <f aca="false">D27-C27</f>
        <v>0.493891529738903</v>
      </c>
      <c r="F27" s="44" t="str">
        <f aca="false">IF(ABS(E27)&lt;=0.5,"PASS","FAIL")</f>
        <v>PASS</v>
      </c>
    </row>
    <row r="28" customFormat="false" ht="15" hidden="false" customHeight="false" outlineLevel="0" collapsed="false">
      <c r="A28" s="7" t="s">
        <v>236</v>
      </c>
      <c r="B28" s="7" t="s">
        <v>140</v>
      </c>
      <c r="C28" s="29" t="n">
        <v>0.139</v>
      </c>
      <c r="D28" s="29" t="n">
        <f aca="false">'Two conventions'!$B$11</f>
        <v>0.138879319614124</v>
      </c>
      <c r="E28" s="41" t="n">
        <f aca="false">D28-C28</f>
        <v>-0.000120680385875843</v>
      </c>
      <c r="F28" s="42" t="str">
        <f aca="false">IF(ABS(E28)&lt;=0.0005,"PASS","FAIL")</f>
        <v>PASS</v>
      </c>
    </row>
    <row r="29" customFormat="false" ht="15" hidden="false" customHeight="false" outlineLevel="0" collapsed="false">
      <c r="A29" s="20" t="s">
        <v>236</v>
      </c>
      <c r="B29" s="20" t="s">
        <v>237</v>
      </c>
      <c r="C29" s="28" t="n">
        <v>7749502</v>
      </c>
      <c r="D29" s="28" t="n">
        <f aca="false">'Two conventions'!$B$12</f>
        <v>7749501.54291332</v>
      </c>
      <c r="E29" s="43" t="n">
        <f aca="false">D29-C29</f>
        <v>-0.457086682319641</v>
      </c>
      <c r="F29" s="44" t="str">
        <f aca="false">IF(ABS(E29)&lt;=0.5,"PASS","FAIL")</f>
        <v>PASS</v>
      </c>
    </row>
    <row r="30" customFormat="false" ht="15" hidden="false" customHeight="false" outlineLevel="0" collapsed="false">
      <c r="A30" s="7" t="s">
        <v>238</v>
      </c>
      <c r="B30" s="7" t="s">
        <v>239</v>
      </c>
      <c r="C30" s="24" t="n">
        <v>46402888</v>
      </c>
      <c r="D30" s="24" t="n">
        <f aca="false">'One agreement or two'!$B$9</f>
        <v>46402888.3515603</v>
      </c>
      <c r="E30" s="41" t="n">
        <f aca="false">D30-C30</f>
        <v>0.35156024992466</v>
      </c>
      <c r="F30" s="42" t="str">
        <f aca="false">IF(ABS(E30)&lt;=0.5,"PASS","FAIL")</f>
        <v>PASS</v>
      </c>
    </row>
    <row r="31" customFormat="false" ht="15" hidden="false" customHeight="false" outlineLevel="0" collapsed="false">
      <c r="A31" s="20" t="s">
        <v>240</v>
      </c>
      <c r="B31" s="20" t="s">
        <v>241</v>
      </c>
      <c r="C31" s="28" t="n">
        <v>-11335005</v>
      </c>
      <c r="D31" s="28" t="n">
        <f aca="false">'Rate shock'!$D$8</f>
        <v>-11335004.9864362</v>
      </c>
      <c r="E31" s="43" t="n">
        <f aca="false">D31-C31</f>
        <v>0.013563759624958</v>
      </c>
      <c r="F31" s="44" t="str">
        <f aca="false">IF(ABS(E31)&lt;=0.5,"PASS","FAIL")</f>
        <v>PASS</v>
      </c>
    </row>
    <row r="32" customFormat="false" ht="15" hidden="false" customHeight="false" outlineLevel="0" collapsed="false">
      <c r="A32" s="7" t="s">
        <v>240</v>
      </c>
      <c r="B32" s="7" t="s">
        <v>242</v>
      </c>
      <c r="C32" s="24" t="n">
        <v>-5575603</v>
      </c>
      <c r="D32" s="24" t="n">
        <f aca="false">'Rate shock'!$D$9</f>
        <v>-5575602.71605491</v>
      </c>
      <c r="E32" s="41" t="n">
        <f aca="false">D32-C32</f>
        <v>0.283945092000067</v>
      </c>
      <c r="F32" s="42" t="str">
        <f aca="false">IF(ABS(E32)&lt;=0.5,"PASS","FAIL")</f>
        <v>PASS</v>
      </c>
    </row>
    <row r="33" customFormat="false" ht="15" hidden="false" customHeight="false" outlineLevel="0" collapsed="false">
      <c r="A33" s="20" t="s">
        <v>240</v>
      </c>
      <c r="B33" s="20" t="s">
        <v>243</v>
      </c>
      <c r="C33" s="28" t="n">
        <v>-132215</v>
      </c>
      <c r="D33" s="28" t="n">
        <f aca="false">'Rate shock'!$D$10</f>
        <v>-132214.686921645</v>
      </c>
      <c r="E33" s="43" t="n">
        <f aca="false">D33-C33</f>
        <v>0.313078355480684</v>
      </c>
      <c r="F33" s="44" t="str">
        <f aca="false">IF(ABS(E33)&lt;=0.5,"PASS","FAIL")</f>
        <v>PASS</v>
      </c>
    </row>
    <row r="34" customFormat="false" ht="15" hidden="false" customHeight="false" outlineLevel="0" collapsed="false">
      <c r="A34" s="7" t="s">
        <v>240</v>
      </c>
      <c r="B34" s="7" t="s">
        <v>244</v>
      </c>
      <c r="C34" s="24" t="n">
        <v>5015472</v>
      </c>
      <c r="D34" s="24" t="n">
        <f aca="false">'Rate shock'!$D$11</f>
        <v>5015472.43972777</v>
      </c>
      <c r="E34" s="41" t="n">
        <f aca="false">D34-C34</f>
        <v>0.439727769233286</v>
      </c>
      <c r="F34" s="42" t="str">
        <f aca="false">IF(ABS(E34)&lt;=0.5,"PASS","FAIL")</f>
        <v>PASS</v>
      </c>
    </row>
    <row r="35" customFormat="false" ht="15" hidden="false" customHeight="false" outlineLevel="0" collapsed="false">
      <c r="A35" s="20" t="s">
        <v>240</v>
      </c>
      <c r="B35" s="20" t="s">
        <v>245</v>
      </c>
      <c r="C35" s="28" t="n">
        <v>9886285</v>
      </c>
      <c r="D35" s="28" t="n">
        <f aca="false">'Rate shock'!$D$12</f>
        <v>9886285.3505349</v>
      </c>
      <c r="E35" s="43" t="n">
        <f aca="false">D35-C35</f>
        <v>0.350534895434976</v>
      </c>
      <c r="F35" s="44" t="str">
        <f aca="false">IF(ABS(E35)&lt;=0.5,"PASS","FAIL")</f>
        <v>PASS</v>
      </c>
    </row>
    <row r="36" customFormat="false" ht="15" hidden="false" customHeight="false" outlineLevel="0" collapsed="false">
      <c r="A36" s="7" t="s">
        <v>246</v>
      </c>
      <c r="B36" s="7" t="s">
        <v>247</v>
      </c>
      <c r="C36" s="24" t="n">
        <v>11696910</v>
      </c>
      <c r="D36" s="24" t="n">
        <f aca="false">'Currency shock'!$F$21</f>
        <v>11696910.220648</v>
      </c>
      <c r="E36" s="41" t="n">
        <f aca="false">D36-C36</f>
        <v>0.220647979527712</v>
      </c>
      <c r="F36" s="42" t="str">
        <f aca="false">IF(ABS(E36)&lt;=0.5,"PASS","FAIL")</f>
        <v>PASS</v>
      </c>
    </row>
    <row r="37" customFormat="false" ht="15" hidden="false" customHeight="false" outlineLevel="0" collapsed="false">
      <c r="A37" s="20" t="s">
        <v>246</v>
      </c>
      <c r="B37" s="20" t="s">
        <v>248</v>
      </c>
      <c r="C37" s="28" t="n">
        <v>52378487</v>
      </c>
      <c r="D37" s="28" t="n">
        <f aca="false">'Currency shock'!$G$21</f>
        <v>52378486.7611129</v>
      </c>
      <c r="E37" s="43" t="n">
        <f aca="false">D37-C37</f>
        <v>-0.238887146115303</v>
      </c>
      <c r="F37" s="44" t="str">
        <f aca="false">IF(ABS(E37)&lt;=0.5,"PASS","FAIL")</f>
        <v>PASS</v>
      </c>
    </row>
    <row r="38" customFormat="false" ht="15" hidden="false" customHeight="false" outlineLevel="0" collapsed="false">
      <c r="A38" s="7" t="s">
        <v>246</v>
      </c>
      <c r="B38" s="7" t="s">
        <v>249</v>
      </c>
      <c r="C38" s="37" t="n">
        <v>4.48</v>
      </c>
      <c r="D38" s="37" t="n">
        <f aca="false">'Currency shock'!$H$21</f>
        <v>4.47797630083983</v>
      </c>
      <c r="E38" s="41" t="n">
        <f aca="false">D38-C38</f>
        <v>-0.0020236991601692</v>
      </c>
      <c r="F38" s="42" t="str">
        <f aca="false">IF(ABS(E38)&lt;=0.005,"PASS","FAIL")</f>
        <v>PASS</v>
      </c>
    </row>
    <row r="39" customFormat="false" ht="15" hidden="false" customHeight="false" outlineLevel="0" collapsed="false">
      <c r="A39" s="20" t="s">
        <v>246</v>
      </c>
      <c r="B39" s="20" t="s">
        <v>250</v>
      </c>
      <c r="C39" s="28" t="n">
        <v>2250000</v>
      </c>
      <c r="D39" s="28" t="n">
        <f aca="false">'Currency shock'!$I$23</f>
        <v>2250000</v>
      </c>
      <c r="E39" s="43" t="n">
        <f aca="false">D39-C39</f>
        <v>0</v>
      </c>
      <c r="F39" s="44" t="str">
        <f aca="false">IF(ABS(E39)&lt;=0.5,"PASS","FAIL")</f>
        <v>PASS</v>
      </c>
    </row>
    <row r="40" customFormat="false" ht="15" hidden="false" customHeight="false" outlineLevel="0" collapsed="false">
      <c r="A40" s="7" t="s">
        <v>246</v>
      </c>
      <c r="B40" s="7" t="s">
        <v>251</v>
      </c>
      <c r="C40" s="19" t="n">
        <v>0.9296</v>
      </c>
      <c r="D40" s="19" t="n">
        <f aca="false">'Currency shock'!$B$27</f>
        <v>0.929637604946902</v>
      </c>
      <c r="E40" s="41" t="n">
        <f aca="false">D40-C40</f>
        <v>3.76049469024142E-005</v>
      </c>
      <c r="F40" s="42" t="str">
        <f aca="false">IF(ABS(E40)&lt;=0.00005,"PASS","FAIL")</f>
        <v>PASS</v>
      </c>
    </row>
    <row r="41" customFormat="false" ht="15" hidden="false" customHeight="false" outlineLevel="0" collapsed="false">
      <c r="A41" s="20" t="s">
        <v>246</v>
      </c>
      <c r="B41" s="20" t="s">
        <v>199</v>
      </c>
      <c r="C41" s="45" t="n">
        <v>0.2563</v>
      </c>
      <c r="D41" s="45" t="n">
        <f aca="false">'Currency shock'!$B$28</f>
        <v>0.256289916042478</v>
      </c>
      <c r="E41" s="43" t="n">
        <f aca="false">D41-C41</f>
        <v>-1.00839575218892E-005</v>
      </c>
      <c r="F41" s="44" t="str">
        <f aca="false">IF(ABS(E41)&lt;=0.00005,"PASS","FAIL")</f>
        <v>PASS</v>
      </c>
    </row>
    <row r="42" customFormat="false" ht="15" hidden="false" customHeight="false" outlineLevel="0" collapsed="false">
      <c r="A42" s="7" t="s">
        <v>246</v>
      </c>
      <c r="B42" s="7" t="s">
        <v>200</v>
      </c>
      <c r="C42" s="19" t="n">
        <v>1.1614</v>
      </c>
      <c r="D42" s="19" t="n">
        <f aca="false">'Currency shock'!$B$29</f>
        <v>1.16140855883084</v>
      </c>
      <c r="E42" s="41" t="n">
        <f aca="false">D42-C42</f>
        <v>8.55883084294185E-006</v>
      </c>
      <c r="F42" s="42" t="str">
        <f aca="false">IF(ABS(E42)&lt;=0.00005,"PASS","FAIL")</f>
        <v>PASS</v>
      </c>
    </row>
    <row r="43" customFormat="false" ht="15" hidden="false" customHeight="false" outlineLevel="0" collapsed="false">
      <c r="A43" s="20" t="s">
        <v>252</v>
      </c>
      <c r="B43" s="20" t="s">
        <v>199</v>
      </c>
      <c r="C43" s="45" t="n">
        <v>0.0709</v>
      </c>
      <c r="D43" s="45" t="n">
        <f aca="false">'Currency shock'!$B$30</f>
        <v>0.0708731529353257</v>
      </c>
      <c r="E43" s="43" t="n">
        <f aca="false">D43-C43</f>
        <v>-2.68470646743041E-005</v>
      </c>
      <c r="F43" s="44" t="str">
        <f aca="false">IF(ABS(E43)&lt;=0.00005,"PASS","FAIL")</f>
        <v>PASS</v>
      </c>
    </row>
    <row r="44" customFormat="false" ht="15" hidden="false" customHeight="false" outlineLevel="0" collapsed="false">
      <c r="A44" s="7" t="n">
        <v>15</v>
      </c>
      <c r="B44" s="7" t="s">
        <v>253</v>
      </c>
      <c r="C44" s="19" t="n">
        <v>586</v>
      </c>
      <c r="D44" s="19" t="n">
        <f aca="false">'Rate shock'!B21</f>
        <v>585.827781419677</v>
      </c>
      <c r="E44" s="41" t="n">
        <f aca="false">D44-C44</f>
        <v>-0.172218580322806</v>
      </c>
      <c r="F44" s="42" t="str">
        <f aca="false">IF(ABS(E44)&lt;=0.5,"PASS","FAIL")</f>
        <v>PASS</v>
      </c>
    </row>
    <row r="45" customFormat="false" ht="15" hidden="false" customHeight="false" outlineLevel="0" collapsed="false">
      <c r="A45" s="20" t="n">
        <v>15</v>
      </c>
      <c r="B45" s="20" t="s">
        <v>174</v>
      </c>
      <c r="C45" s="46" t="n">
        <v>1448720</v>
      </c>
      <c r="D45" s="46" t="n">
        <f aca="false">'Rate shock'!B22</f>
        <v>1448719.63590135</v>
      </c>
      <c r="E45" s="43" t="n">
        <f aca="false">D45-C45</f>
        <v>-0.364098655059934</v>
      </c>
      <c r="F45" s="44" t="str">
        <f aca="false">IF(ABS(E45)&lt;=0.5,"PASS","FAIL")</f>
        <v>PASS</v>
      </c>
    </row>
    <row r="46" customFormat="false" ht="15" hidden="false" customHeight="false" outlineLevel="0" collapsed="false">
      <c r="A46" s="7" t="n">
        <v>15</v>
      </c>
      <c r="B46" s="7" t="s">
        <v>254</v>
      </c>
      <c r="C46" s="47" t="n">
        <v>560131</v>
      </c>
      <c r="D46" s="47" t="n">
        <f aca="false">'Rate shock'!B23</f>
        <v>560130.276327139</v>
      </c>
      <c r="E46" s="41" t="n">
        <f aca="false">D46-C46</f>
        <v>-0.723672861233354</v>
      </c>
      <c r="F46" s="42" t="str">
        <f aca="false">IF(ABS(E46)&lt;=1,"PASS","FAIL")</f>
        <v>PASS</v>
      </c>
    </row>
    <row r="47" customFormat="false" ht="15" hidden="false" customHeight="false" outlineLevel="0" collapsed="false">
      <c r="A47" s="20" t="n">
        <v>15</v>
      </c>
      <c r="B47" s="20" t="s">
        <v>255</v>
      </c>
      <c r="C47" s="46" t="n">
        <v>183799</v>
      </c>
      <c r="D47" s="46" t="n">
        <f aca="false">'Rate shock'!B24</f>
        <v>183799.554326424</v>
      </c>
      <c r="E47" s="43" t="n">
        <f aca="false">D47-C47</f>
        <v>0.554326424375176</v>
      </c>
      <c r="F47" s="44" t="str">
        <f aca="false">IF(ABS(E47)&lt;=1,"PASS","FAIL")</f>
        <v>PASS</v>
      </c>
    </row>
    <row r="48" customFormat="false" ht="15" hidden="false" customHeight="false" outlineLevel="0" collapsed="false">
      <c r="A48" s="7" t="n">
        <v>15</v>
      </c>
      <c r="B48" s="7" t="s">
        <v>256</v>
      </c>
      <c r="C48" s="19" t="n">
        <v>0.3149</v>
      </c>
      <c r="D48" s="19" t="n">
        <f aca="false">'Rate shock'!B25</f>
        <v>0.314861249623229</v>
      </c>
      <c r="E48" s="41" t="n">
        <f aca="false">D48-C48</f>
        <v>-3.87503767710906E-005</v>
      </c>
      <c r="F48" s="42" t="str">
        <f aca="false">IF(ABS(E48)&lt;=0.00005,"PASS","FAIL")</f>
        <v>PASS</v>
      </c>
    </row>
    <row r="49" customFormat="false" ht="15" hidden="false" customHeight="false" outlineLevel="0" collapsed="false">
      <c r="A49" s="20" t="n">
        <v>16</v>
      </c>
      <c r="B49" s="20" t="s">
        <v>257</v>
      </c>
      <c r="C49" s="46" t="n">
        <v>12000000</v>
      </c>
      <c r="D49" s="46" t="n">
        <f aca="false">'Currency shock'!B36</f>
        <v>12000000</v>
      </c>
      <c r="E49" s="43" t="n">
        <f aca="false">D49-C49</f>
        <v>0</v>
      </c>
      <c r="F49" s="44" t="str">
        <f aca="false">IF(ABS(E49)&lt;=0.5,"PASS","FAIL")</f>
        <v>PASS</v>
      </c>
    </row>
    <row r="50" customFormat="false" ht="15" hidden="false" customHeight="false" outlineLevel="0" collapsed="false">
      <c r="A50" s="7" t="n">
        <v>16</v>
      </c>
      <c r="B50" s="7" t="s">
        <v>258</v>
      </c>
      <c r="C50" s="47" t="n">
        <v>11564696</v>
      </c>
      <c r="D50" s="47" t="n">
        <f aca="false">'Currency shock'!B37</f>
        <v>11564695.5337263</v>
      </c>
      <c r="E50" s="41" t="n">
        <f aca="false">D50-C50</f>
        <v>-0.466273665428162</v>
      </c>
      <c r="F50" s="42" t="str">
        <f aca="false">IF(ABS(E50)&lt;=0.5,"PASS","FAIL")</f>
        <v>PASS</v>
      </c>
    </row>
    <row r="51" customFormat="false" ht="15" hidden="false" customHeight="false" outlineLevel="0" collapsed="false">
      <c r="A51" s="20" t="n">
        <v>16</v>
      </c>
      <c r="B51" s="20" t="s">
        <v>259</v>
      </c>
      <c r="C51" s="48" t="n">
        <v>0.0886</v>
      </c>
      <c r="D51" s="48" t="n">
        <f aca="false">'Currency shock'!B40</f>
        <v>0.0885914411691571</v>
      </c>
      <c r="E51" s="43" t="n">
        <f aca="false">D51-C51</f>
        <v>-8.55883084292797E-006</v>
      </c>
      <c r="F51" s="44" t="str">
        <f aca="false">IF(ABS(E51)&lt;=0.00005,"PASS","FAIL")</f>
        <v>PASS</v>
      </c>
    </row>
    <row r="52" customFormat="false" ht="15" hidden="false" customHeight="false" outlineLevel="0" collapsed="false">
      <c r="A52" s="7" t="n">
        <v>16</v>
      </c>
      <c r="B52" s="7" t="s">
        <v>211</v>
      </c>
      <c r="C52" s="19" t="n">
        <v>3.62</v>
      </c>
      <c r="D52" s="19" t="n">
        <f aca="false">'Currency shock'!B42</f>
        <v>3.61617771226224</v>
      </c>
      <c r="E52" s="41" t="n">
        <f aca="false">D52-C52</f>
        <v>-0.00382228773775806</v>
      </c>
      <c r="F52" s="42" t="str">
        <f aca="false">IF(ABS(E52)&lt;=0.005,"PASS","FAIL")</f>
        <v>PASS</v>
      </c>
    </row>
    <row r="54" customFormat="false" ht="15" hidden="false" customHeight="false" outlineLevel="0" collapsed="false">
      <c r="B54" s="49" t="s">
        <v>260</v>
      </c>
      <c r="C54" s="50" t="n">
        <f aca="false">COUNTIF(F8:F52,"PASS")</f>
        <v>45</v>
      </c>
    </row>
    <row r="55" customFormat="false" ht="15" hidden="false" customHeight="false" outlineLevel="0" collapsed="false">
      <c r="B55" s="49" t="s">
        <v>261</v>
      </c>
      <c r="C55" s="50" t="n">
        <f aca="false">COUNTIF(F8:F52,"FAIL")</f>
        <v>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2026-08-30T01:22:04Z</dcterms:created>
  <dc:creator>openpyxl</dc:creator>
  <dc:description/>
  <dc:language>en-US</dc:language>
  <cp:lastModifiedBy/>
  <dcterms:modified xsi:type="dcterms:W3CDTF">2026-09-24T02:12:53Z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