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Curves" sheetId="3" state="visible" r:id="rId5"/>
    <sheet name="The rolling hedge" sheetId="4" state="visible" r:id="rId6"/>
    <sheet name="Three policies" sheetId="5" state="visible" r:id="rId7"/>
    <sheet name="Tenor switch" sheetId="6" state="visible" r:id="rId8"/>
    <sheet name="Checks" sheetId="7" state="visible" r:id="rId9"/>
  </sheets>
  <definedNames>
    <definedName function="false" hidden="false" name="Ann" vbProcedure="false">Curves!$B$17</definedName>
    <definedName function="false" hidden="false" name="AnnCsa" vbProcedure="false">Curves!$B$18</definedName>
    <definedName function="false" hidden="false" name="BoFx" vbProcedure="false">Inputs!$B$31</definedName>
    <definedName function="false" hidden="false" name="BoIrs" vbProcedure="false">Inputs!$B$30</definedName>
    <definedName function="false" hidden="false" name="CapK" vbProcedure="false">Inputs!$B$41</definedName>
    <definedName function="false" hidden="false" name="Cash" vbProcedure="false">Inputs!$B$12</definedName>
    <definedName function="false" hidden="false" name="ComP" vbProcedure="false">Inputs!$D$48:$D$53</definedName>
    <definedName function="false" hidden="false" name="Cover" vbProcedure="false">Inputs!$B$29</definedName>
    <definedName function="false" hidden="false" name="CRf" vbProcedure="false">Inputs!$B$39</definedName>
    <definedName function="false" hidden="false" name="CsaSp" vbProcedure="false">Inputs!$B$33</definedName>
    <definedName function="false" hidden="false" name="CSpot" vbProcedure="false">Inputs!$B$38</definedName>
    <definedName function="false" hidden="false" name="Cva" vbProcedure="false">Inputs!$B$32</definedName>
    <definedName function="false" hidden="false" name="CVol" vbProcedure="false">Inputs!$B$40</definedName>
    <definedName function="false" hidden="false" name="Debt" vbProcedure="false">Inputs!$B$10</definedName>
    <definedName function="false" hidden="false" name="DFCSA" vbProcedure="false">Curves!$H$8:$H$12</definedName>
    <definedName function="false" hidden="false" name="DFG" vbProcedure="false">Curves!$D$8:$D$12</definedName>
    <definedName function="false" hidden="false" name="DFU" vbProcedure="false">Curves!$E$8:$E$12</definedName>
    <definedName function="false" hidden="false" name="Diff1" vbProcedure="false">Curves!$B$21</definedName>
    <definedName function="false" hidden="false" name="Ebitda" vbProcedure="false">Inputs!$B$8</definedName>
    <definedName function="false" hidden="false" name="Facility" vbProcedure="false">Inputs!$B$13</definedName>
    <definedName function="false" hidden="false" name="FloK" vbProcedure="false">Inputs!$B$42</definedName>
    <definedName function="false" hidden="false" name="Fwd1" vbProcedure="false">Curves!$B$22</definedName>
    <definedName function="false" hidden="false" name="FWDFX" vbProcedure="false">Curves!$F$8:$F$12</definedName>
    <definedName function="false" hidden="false" name="FWDIMP" vbProcedure="false">Curves!$G$8:$G$12</definedName>
    <definedName function="false" hidden="false" name="Headroom" vbProcedure="false">Curves!$B$25</definedName>
    <definedName function="false" hidden="false" name="Hedged" vbProcedure="false">Curves!$B$23</definedName>
    <definedName function="false" hidden="false" name="LibP" vbProcedure="false">Inputs!$C$48:$C$53</definedName>
    <definedName function="false" hidden="false" name="Lock" vbProcedure="false">'Tenor switch'!$B$5</definedName>
    <definedName function="false" hidden="false" name="Notional" vbProcedure="false">Inputs!$B$11</definedName>
    <definedName function="false" hidden="false" name="Opened" vbProcedure="false">Curves!$B$24</definedName>
    <definedName function="false" hidden="false" name="ParG" vbProcedure="false">Inputs!$B$20:$B$24</definedName>
    <definedName function="false" hidden="false" name="ParU" vbProcedure="false">Inputs!$C$20:$C$24</definedName>
    <definedName function="false" hidden="false" name="Rev" vbProcedure="false">Inputs!$B$7</definedName>
    <definedName function="false" hidden="false" name="Spot" vbProcedure="false">Inputs!$B$18</definedName>
    <definedName function="false" hidden="false" name="SpotP" vbProcedure="false">Inputs!$B$48:$B$53</definedName>
    <definedName function="false" hidden="false" name="SwapMid" vbProcedure="false">Curves!$B$19</definedName>
    <definedName function="false" hidden="false" name="SwapPaid" vbProcedure="false">Curves!$B$20</definedName>
    <definedName function="false" hidden="false" name="Tonnes" vbProcedure="false">Inputs!$B$37</definedName>
    <definedName function="false" hidden="false" name="UsdSales" vbProcedure="false">Inputs!$B$9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<sst xmlns="http://schemas.openxmlformats.org/spreadsheetml/2006/main" count="259" uniqueCount="205">
  <si>
    <t xml:space="preserve">Derivatives - The Rolling Programme</t>
  </si>
  <si>
    <t xml:space="preserve">Companion workbook 2, by Julian R. Sterling</t>
  </si>
  <si>
    <t xml:space="preserve">What this workbook does</t>
  </si>
  <si>
    <t xml:space="preserve">It carries the twelve-month currency programme across the five declared years - the rate it was struck on, the forward it was struck at, and the spot that settled it - and then sets the three policies side by side on the same path: do nothing, roll twelve months, lock five years at the start.</t>
  </si>
  <si>
    <t xml:space="preserve">The first experiment to run</t>
  </si>
  <si>
    <t xml:space="preserve">Go to the Tenor switch sheet and set the switch to 1. The programme stops rolling and reads the five forwards off the curve instead. Sterling received over five years falls from 747,143,181 to 711,963,860, and the spread of 35,179,321 opens in one cell. Set it back to 0 and it closes.</t>
  </si>
  <si>
    <t xml:space="preserve">The second</t>
  </si>
  <si>
    <t xml:space="preserve">On the Inputs sheet, change the spot path so that sterling rises and stays up - say 1.31, then 1.36 for four years. The locked policy now protects: it ends 23,665,387 ahead of doing nothing, against 2,922,661 for the rolling one, which re-strikes at 1.36 and gives the protection back. Then try 1.19, then 1.14 for four years, sterling falling and staying down: the lock loses most (63,351,943 against doing nothing, the rolling programme 17,008,870), because for a seller of dollars a weaker pound is the good news and a hedge gives it away. Neither policy is superior by nature; the path decides, and nobody knows the path.</t>
  </si>
  <si>
    <t xml:space="preserve">The third</t>
  </si>
  <si>
    <t xml:space="preserve">Move the share of dollar sales sold forward from 75 per cent to 100. The derivative result grows by a third and so does everything the fourth workbook computes about margin. The open quarter is the only part of the exposure that never calls for cash.</t>
  </si>
  <si>
    <t xml:space="preserve">The one number to keep an eye on</t>
  </si>
  <si>
    <t xml:space="preserve">The spread of 35,179,321 between the best policy and the worst. It is larger than anything a treasurer can do inside a policy: execution is worth a million and a half over the same five years. The choice of tenor is the decision; the rest is dealing.</t>
  </si>
  <si>
    <t xml:space="preserve">On the checks</t>
  </si>
  <si>
    <t xml:space="preserve">The Checks sheet reproduces by formula each figure printed in chapters 4 and 5, and the curve table of the appendix. It reads the Three policies sheet, not the switch, so it stays green whichever way you leave that cell.</t>
  </si>
  <si>
    <t xml:space="preserve">Revised 24 September 2026</t>
  </si>
  <si>
    <t xml:space="preserve">Chapter 5's year-by-year ranges are now on the Three policies sheet. The book printed the locked policy's years from forwards rounded to four decimals, so its range is 6,541,644, not 6,546,047, and the best year of any policy less the worst is 19,290,801, not 19,291,952; the rolling range is 10,784,758. The sheet no longer says both hedges lost "because sterling ends lower than it began": it ended higher, at 1.2600, and settled below the forward at every date. The second experiment above is corrected too: it is a path on which sterling rises and stays up that makes the lock protect; on one where it falls and stays down the lock loses most. Twelve checks added, forty-two in all.</t>
  </si>
  <si>
    <t xml:space="preserve">Inputs - the Kilmartin Industrial fact pattern</t>
  </si>
  <si>
    <t xml:space="preserve">Blue on pale yellow is an input, and you may edit it. Everything else in this file is a formula over these cells.</t>
  </si>
  <si>
    <t xml:space="preserve">The company</t>
  </si>
  <si>
    <t xml:space="preserve">Revenue, sterling</t>
  </si>
  <si>
    <t xml:space="preserve">EBITDA</t>
  </si>
  <si>
    <t xml:space="preserve">Of which invoiced in dollars, in dollars</t>
  </si>
  <si>
    <t xml:space="preserve">Floating-rate debt</t>
  </si>
  <si>
    <t xml:space="preserve">Swap notional, five years, pays fixed</t>
  </si>
  <si>
    <t xml:space="preserve">Cash</t>
  </si>
  <si>
    <t xml:space="preserve">Committed undrawn facility</t>
  </si>
  <si>
    <t xml:space="preserve">The committed undrawn facility is treated as drawable overnight to post variation margin. That is the assumption that decides every break-even in this file, and it depends on the facility agreement.</t>
  </si>
  <si>
    <t xml:space="preserve">The two markets, on the day of the decision</t>
  </si>
  <si>
    <t xml:space="preserve">Spot, dollars per pound</t>
  </si>
  <si>
    <t xml:space="preserve">year</t>
  </si>
  <si>
    <t xml:space="preserve">GBP par rate</t>
  </si>
  <si>
    <t xml:space="preserve">USD par rate</t>
  </si>
  <si>
    <t xml:space="preserve">1 year</t>
  </si>
  <si>
    <t xml:space="preserve">2 years</t>
  </si>
  <si>
    <t xml:space="preserve">3 years</t>
  </si>
  <si>
    <t xml:space="preserve">4 years</t>
  </si>
  <si>
    <t xml:space="preserve">5 years</t>
  </si>
  <si>
    <t xml:space="preserve">Every discount factor in this file is bootstrapped from these ten rates on the Curves sheet, and the ten par bonds are re-priced to 1 there.</t>
  </si>
  <si>
    <t xml:space="preserve">The hedging programme, as decided</t>
  </si>
  <si>
    <t xml:space="preserve">Share of dollar sales sold forward</t>
  </si>
  <si>
    <t xml:space="preserve">Dealer spread on the swap fixed rate</t>
  </si>
  <si>
    <t xml:space="preserve">Currency bid and offer, on 1.2500</t>
  </si>
  <si>
    <t xml:space="preserve">Credit charge embedded in the rate</t>
  </si>
  <si>
    <t xml:space="preserve">Collateral rate, below the unsecured curve</t>
  </si>
  <si>
    <t xml:space="preserve">The commodity collar - Kilmartin consumes, so it buys the cap</t>
  </si>
  <si>
    <t xml:space="preserve">Tonnes consumed a year</t>
  </si>
  <si>
    <t xml:space="preserve">Spot, per tonne</t>
  </si>
  <si>
    <t xml:space="preserve">Rate used for the carry to one year</t>
  </si>
  <si>
    <t xml:space="preserve">Volatility</t>
  </si>
  <si>
    <t xml:space="preserve">Cap bought at</t>
  </si>
  <si>
    <t xml:space="preserve">Floor sold at</t>
  </si>
  <si>
    <t xml:space="preserve">The floor is not Kilmartin's protection; it is the leg it gives away. Its protection is the cap. Swap the two and the chapter reverses.</t>
  </si>
  <si>
    <t xml:space="preserve">The three declared paths - named scenarios, not simulations</t>
  </si>
  <si>
    <t xml:space="preserve">at the end of year</t>
  </si>
  <si>
    <t xml:space="preserve">spot USD/GBP</t>
  </si>
  <si>
    <t xml:space="preserve">floating rate</t>
  </si>
  <si>
    <t xml:space="preserve">commodity, per tonne</t>
  </si>
  <si>
    <t xml:space="preserve">t = 0</t>
  </si>
  <si>
    <t xml:space="preserve">t = 1</t>
  </si>
  <si>
    <t xml:space="preserve">t = 2</t>
  </si>
  <si>
    <t xml:space="preserve">t = 3</t>
  </si>
  <si>
    <t xml:space="preserve">t = 4</t>
  </si>
  <si>
    <t xml:space="preserve">t = 5</t>
  </si>
  <si>
    <t xml:space="preserve">These are choices, not facts about the markets. Replace them and every figure in the file is re-run on the path you prefer.</t>
  </si>
  <si>
    <t xml:space="preserve">Curves, bootstrapped</t>
  </si>
  <si>
    <t xml:space="preserve">Discount factors from par rates, and everything the rest of the file reads off them.</t>
  </si>
  <si>
    <t xml:space="preserve">The two curves</t>
  </si>
  <si>
    <t xml:space="preserve">GBP par</t>
  </si>
  <si>
    <t xml:space="preserve">USD par</t>
  </si>
  <si>
    <t xml:space="preserve">DF GBP</t>
  </si>
  <si>
    <t xml:space="preserve">DF USD</t>
  </si>
  <si>
    <t xml:space="preserve">forward USD/GBP</t>
  </si>
  <si>
    <t xml:space="preserve">implied forward rate</t>
  </si>
  <si>
    <t xml:space="preserve">DF at the collateral rate</t>
  </si>
  <si>
    <t xml:space="preserve">GBP par bond re-priced</t>
  </si>
  <si>
    <t xml:space="preserve">USD par bond re-priced</t>
  </si>
  <si>
    <t xml:space="preserve">The forwards rise with maturity because dollar rates are higher than sterling rates. A forward curve that fell would mean the reverse, and is the first thing to check.</t>
  </si>
  <si>
    <t xml:space="preserve">What the curves give the rest of the file</t>
  </si>
  <si>
    <t xml:space="preserve">Annuity, the five sterling discount factors</t>
  </si>
  <si>
    <t xml:space="preserve">The same annuity on the collateral curve</t>
  </si>
  <si>
    <t xml:space="preserve">Five-year swap rate, mid market</t>
  </si>
  <si>
    <t xml:space="preserve">Fixed rate paid, mid plus the dealer spread</t>
  </si>
  <si>
    <t xml:space="preserve">One-year rate differential, dollars over sterling</t>
  </si>
  <si>
    <t xml:space="preserve">Forward at one year</t>
  </si>
  <si>
    <t xml:space="preserve">Dollars sold forward each year</t>
  </si>
  <si>
    <t xml:space="preserve">Dollars left open each year</t>
  </si>
  <si>
    <t xml:space="preserve">Available liquidity</t>
  </si>
  <si>
    <t xml:space="preserve">The guards this sheet carries</t>
  </si>
  <si>
    <t xml:space="preserve">Every one of the ten par bonds re-priced, worst error against 1</t>
  </si>
  <si>
    <t xml:space="preserve">Five-year par rate less the mid swap rate</t>
  </si>
  <si>
    <t xml:space="preserve">Spot times the rate differential, less the one-year forward</t>
  </si>
  <si>
    <t xml:space="preserve">The floating leg, less 1 minus the five-year discount factor</t>
  </si>
  <si>
    <t xml:space="preserve">Four identities, each computed by a path that has nothing in common with the one that built the numbers. If any of them stops reading zero, the curve is wrong and so is everything downstream.</t>
  </si>
  <si>
    <t xml:space="preserve">A hedge that only hedges for a year</t>
  </si>
  <si>
    <t xml:space="preserve">Each year the company sells twelve months of dollar sales at the forward then ruling.</t>
  </si>
  <si>
    <t xml:space="preserve">The twelve-month programme, year by year</t>
  </si>
  <si>
    <t xml:space="preserve">struck on a spot of</t>
  </si>
  <si>
    <t xml:space="preserve">at a forward of</t>
  </si>
  <si>
    <t xml:space="preserve">spot at settlement</t>
  </si>
  <si>
    <t xml:space="preserve">dollars sold forward</t>
  </si>
  <si>
    <t xml:space="preserve">dollars left open</t>
  </si>
  <si>
    <t xml:space="preserve">sterling from the hedge</t>
  </si>
  <si>
    <t xml:space="preserve">sterling from the open part</t>
  </si>
  <si>
    <t xml:space="preserve">sterling in all</t>
  </si>
  <si>
    <t xml:space="preserve">sterling had nothing been hedged</t>
  </si>
  <si>
    <t xml:space="preserve">result on the derivative</t>
  </si>
  <si>
    <t xml:space="preserve">year 1</t>
  </si>
  <si>
    <t xml:space="preserve">year 2</t>
  </si>
  <si>
    <t xml:space="preserve">year 3</t>
  </si>
  <si>
    <t xml:space="preserve">year 4</t>
  </si>
  <si>
    <t xml:space="preserve">year 5</t>
  </si>
  <si>
    <t xml:space="preserve">five years</t>
  </si>
  <si>
    <t xml:space="preserve">Hedged, less unhedged and the derivative together</t>
  </si>
  <si>
    <t xml:space="preserve">The sign of each year turns on one comparison: the spot at settlement against the spot it was struck on, carried at the forward points. That is a property of rolling, not of the path. A rolling programme is a one-year memory of the exchange rate: it does not protect the level, only the year's change, and it does so a year late.</t>
  </si>
  <si>
    <t xml:space="preserve">Three policies, and which one is the decision</t>
  </si>
  <si>
    <t xml:space="preserve">The same company, the same path, the same dollars. Only the tenor changes.</t>
  </si>
  <si>
    <t xml:space="preserve">Sterling received, year by year, under each policy</t>
  </si>
  <si>
    <t xml:space="preserve">the rolling forward</t>
  </si>
  <si>
    <t xml:space="preserve">the forward on the curve</t>
  </si>
  <si>
    <t xml:space="preserve">do nothing</t>
  </si>
  <si>
    <t xml:space="preserve">roll twelve months</t>
  </si>
  <si>
    <t xml:space="preserve">lock five years at the start</t>
  </si>
  <si>
    <t xml:space="preserve">And the same three, against doing nothing</t>
  </si>
  <si>
    <t xml:space="preserve">Rolling twelve months, against doing nothing</t>
  </si>
  <si>
    <t xml:space="preserve">Locking five years, against doing nothing</t>
  </si>
  <si>
    <t xml:space="preserve">Between the best policy and the worst</t>
  </si>
  <si>
    <t xml:space="preserve">On this path both hedges lose against no hedge at all, although sterling ends higher than it began: it settled below the forward at every one of the five dates, and a seller of dollars loses whenever it does. That is what hedging buys: not a gain, a smaller range. On a path where sterling rises and stays up, the order reverses.</t>
  </si>
  <si>
    <t xml:space="preserve">What hedging bought: the range of each policy, year by year</t>
  </si>
  <si>
    <t xml:space="preserve">policy</t>
  </si>
  <si>
    <t xml:space="preserve">best year</t>
  </si>
  <si>
    <t xml:space="preserve">worst year</t>
  </si>
  <si>
    <t xml:space="preserve">range</t>
  </si>
  <si>
    <t xml:space="preserve">Do nothing</t>
  </si>
  <si>
    <t xml:space="preserve">Roll twelve months</t>
  </si>
  <si>
    <t xml:space="preserve">Lock five years</t>
  </si>
  <si>
    <t xml:space="preserve">Best year of any policy, less the worst</t>
  </si>
  <si>
    <t xml:space="preserve">Chapter 5 printed the locked row from forwards rounded to four decimals (145,148,832, 138,602,785, a range of 6,546,047) and cut a pound off the rolling best year (155,366,185). On the unrounded forwards the model carries, the ranges are these.</t>
  </si>
  <si>
    <t xml:space="preserve">The proportions of chapter 5</t>
  </si>
  <si>
    <t xml:space="preserve">Total real cost of the programme, present value (chapter 2)</t>
  </si>
  <si>
    <t xml:space="preserve">Spreads paid to the dealer, present value</t>
  </si>
  <si>
    <t xml:space="preserve">The policy choice as a multiple of the whole real cost</t>
  </si>
  <si>
    <t xml:space="preserve">The policy choice as a multiple of the spreads</t>
  </si>
  <si>
    <t xml:space="preserve">The policy choice as a share of a year's EBITDA</t>
  </si>
  <si>
    <t xml:space="preserve">Bid and offer cut from 8 pips to 6: present value saved</t>
  </si>
  <si>
    <t xml:space="preserve">The policy choice as a multiple of that saving</t>
  </si>
  <si>
    <t xml:space="preserve">The tenor switch</t>
  </si>
  <si>
    <t xml:space="preserve">One cell turns the rolling programme into the locked one, and back.</t>
  </si>
  <si>
    <t xml:space="preserve">Lock the whole programme at the start? 1 for yes, 0 to roll twelve months</t>
  </si>
  <si>
    <t xml:space="preserve">the forward this policy uses</t>
  </si>
  <si>
    <t xml:space="preserve">sterling received</t>
  </si>
  <si>
    <t xml:space="preserve">Sterling under the policy the switch selects</t>
  </si>
  <si>
    <t xml:space="preserve">Against doing nothing</t>
  </si>
  <si>
    <t xml:space="preserve">What this policy is worth against the other one</t>
  </si>
  <si>
    <t xml:space="preserve">Set the switch to 1 and the spread of 35,179,321 opens; set it back to 0 and it closes. The switch is a choice, not an assumption: the Checks sheet reads the Three policies sheet, so it stays green whichever way you leave this cell.</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</si>
  <si>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</si>
  <si>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</si>
  <si>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</si>
  <si>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</si>
  <si>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</si>
  <si>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</si>
  <si>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</si>
  <si>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</si>
  <si>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</si>
  <si>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4</t>
  </si>
  <si>
    <t xml:space="preserve">Struck on a spot of, year one</t>
  </si>
  <si>
    <t xml:space="preserve">At a forward of, year one</t>
  </si>
  <si>
    <t xml:space="preserve">Spot at settlement, year one</t>
  </si>
  <si>
    <t xml:space="preserve">At a forward of, year three</t>
  </si>
  <si>
    <t xml:space="preserve">At a forward of, year five</t>
  </si>
  <si>
    <t xml:space="preserve">Result on the derivative, year one</t>
  </si>
  <si>
    <t xml:space="preserve">Result on the derivative, year two</t>
  </si>
  <si>
    <t xml:space="preserve">Result on the derivative, year three</t>
  </si>
  <si>
    <t xml:space="preserve">Result on the derivative, year four</t>
  </si>
  <si>
    <t xml:space="preserve">Result on the derivative, year five</t>
  </si>
  <si>
    <t xml:space="preserve">Result on the derivative, five years</t>
  </si>
  <si>
    <t xml:space="preserve">5</t>
  </si>
  <si>
    <t xml:space="preserve">Lock five years at the start</t>
  </si>
  <si>
    <t xml:space="preserve">Rolling, against doing nothing</t>
  </si>
  <si>
    <t xml:space="preserve">Locking, against doing nothing</t>
  </si>
  <si>
    <t xml:space="preserve">A</t>
  </si>
  <si>
    <t xml:space="preserve">Discount factor, sterling, one year</t>
  </si>
  <si>
    <t xml:space="preserve">Discount factor, sterling, two years</t>
  </si>
  <si>
    <t xml:space="preserve">Discount factor, sterling, three years</t>
  </si>
  <si>
    <t xml:space="preserve">Discount factor, sterling, four years</t>
  </si>
  <si>
    <t xml:space="preserve">Discount factor, sterling, five years</t>
  </si>
  <si>
    <t xml:space="preserve">Forward USD/GBP, one year</t>
  </si>
  <si>
    <t xml:space="preserve">Forward USD/GBP, two years</t>
  </si>
  <si>
    <t xml:space="preserve">Forward USD/GBP, three years</t>
  </si>
  <si>
    <t xml:space="preserve">Forward USD/GBP, four years</t>
  </si>
  <si>
    <t xml:space="preserve">Forward USD/GBP, five years</t>
  </si>
  <si>
    <t xml:space="preserve">Implied forward rate, year three</t>
  </si>
  <si>
    <t xml:space="preserve">Do nothing: best year less worst</t>
  </si>
  <si>
    <t xml:space="preserve">Roll twelve months: best year (revised: the first edition printed 155,366,185)</t>
  </si>
  <si>
    <t xml:space="preserve">Roll twelve months: range (revised: 10,784,757)</t>
  </si>
  <si>
    <t xml:space="preserve">Lock five years: best year (revised: 145,148,832, from rounded forwards)</t>
  </si>
  <si>
    <t xml:space="preserve">Lock five years: worst year (revised: 138,602,785)</t>
  </si>
  <si>
    <t xml:space="preserve">Lock five years: range (revised: 6,546,047)</t>
  </si>
  <si>
    <t xml:space="preserve">Best year of any policy less the worst (revised: 19,291,952)</t>
  </si>
  <si>
    <t xml:space="preserve">The policy choice over the total real cost</t>
  </si>
  <si>
    <t xml:space="preserve">The policy choice over the spreads</t>
  </si>
  <si>
    <t xml:space="preserve">The policy choice as a share of EBITDA</t>
  </si>
  <si>
    <t xml:space="preserve">Bid and offer from 8 pips to 6, present value saved ("roughly 76,000")</t>
  </si>
  <si>
    <t xml:space="preserve">The policy choice over that saving ("four hundred and sixty times")</t>
  </si>
  <si>
    <t xml:space="preserve">Checks that pass</t>
  </si>
  <si>
    <t xml:space="preserve">Checks that fail</t>
  </si>
</sst>
</file>

<file path=xl/styles.xml><?xml version="1.0" encoding="utf-8"?>
<styleSheet xmlns="http://schemas.openxmlformats.org/spreadsheetml/2006/main">
  <numFmts count="14">
    <numFmt numFmtId="164" formatCode="General"/>
    <numFmt numFmtId="165" formatCode="#,##0;\-#,##0"/>
    <numFmt numFmtId="166" formatCode="0.0000"/>
    <numFmt numFmtId="167" formatCode="0.0000%;\-0.0000%"/>
    <numFmt numFmtId="168" formatCode="0.00%;\-0.00%"/>
    <numFmt numFmtId="169" formatCode="#,##0"/>
    <numFmt numFmtId="170" formatCode="#,##0.00;\-#,##0.00"/>
    <numFmt numFmtId="171" formatCode="0.000000"/>
    <numFmt numFmtId="172" formatCode="0.0000000000"/>
    <numFmt numFmtId="173" formatCode="0.00000000"/>
    <numFmt numFmtId="174" formatCode="0.00"/>
    <numFmt numFmtId="175" formatCode="0.0%"/>
    <numFmt numFmtId="176" formatCode="0"/>
    <numFmt numFmtId="177" formatCode="@"/>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8" fillId="2" borderId="3" xfId="0" applyFont="true" applyBorder="true" applyAlignment="true" applyProtection="false">
      <alignment horizontal="center" vertical="bottom" textRotation="0" wrapText="false" indent="0" shrinkToFit="false"/>
      <protection locked="true" hidden="false"/>
    </xf>
    <xf numFmtId="177" fontId="11" fillId="0"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7" fontId="11" fillId="4"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45" hidden="false" customHeight="true" outlineLevel="0" collapsed="false">
      <c r="A27" s="5" t="s">
        <v>13</v>
      </c>
    </row>
    <row r="29" customFormat="false" ht="15" hidden="false" customHeight="false" outlineLevel="0" collapsed="false">
      <c r="A29" s="4" t="s">
        <v>14</v>
      </c>
    </row>
    <row r="31" customFormat="false" ht="120"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4" min="3" style="0" width="16"/>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row>
    <row r="5" customFormat="false" ht="15" hidden="false" customHeight="false" outlineLevel="0" collapsed="false">
      <c r="A5" s="4" t="s">
        <v>18</v>
      </c>
      <c r="B5" s="6"/>
      <c r="C5" s="6"/>
      <c r="D5" s="6"/>
    </row>
    <row r="7" customFormat="false" ht="15" hidden="false" customHeight="false" outlineLevel="0" collapsed="false">
      <c r="A7" s="7" t="s">
        <v>19</v>
      </c>
      <c r="B7" s="8" t="n">
        <v>340000000</v>
      </c>
    </row>
    <row r="8" customFormat="false" ht="15" hidden="false" customHeight="false" outlineLevel="0" collapsed="false">
      <c r="A8" s="7" t="s">
        <v>20</v>
      </c>
      <c r="B8" s="8" t="n">
        <v>44200000</v>
      </c>
    </row>
    <row r="9" customFormat="false" ht="15" hidden="false" customHeight="false" outlineLevel="0" collapsed="false">
      <c r="A9" s="7" t="s">
        <v>21</v>
      </c>
      <c r="B9" s="8" t="n">
        <v>180000000</v>
      </c>
    </row>
    <row r="10" customFormat="false" ht="15" hidden="false" customHeight="false" outlineLevel="0" collapsed="false">
      <c r="A10" s="7" t="s">
        <v>22</v>
      </c>
      <c r="B10" s="8" t="n">
        <v>150000000</v>
      </c>
    </row>
    <row r="11" customFormat="false" ht="15" hidden="false" customHeight="false" outlineLevel="0" collapsed="false">
      <c r="A11" s="7" t="s">
        <v>23</v>
      </c>
      <c r="B11" s="8" t="n">
        <v>120000000</v>
      </c>
    </row>
    <row r="12" customFormat="false" ht="15" hidden="false" customHeight="false" outlineLevel="0" collapsed="false">
      <c r="A12" s="7" t="s">
        <v>24</v>
      </c>
      <c r="B12" s="8" t="n">
        <v>11000000</v>
      </c>
    </row>
    <row r="13" customFormat="false" ht="15" hidden="false" customHeight="false" outlineLevel="0" collapsed="false">
      <c r="A13" s="7" t="s">
        <v>25</v>
      </c>
      <c r="B13" s="8" t="n">
        <v>25000000</v>
      </c>
    </row>
    <row r="14" customFormat="false" ht="15" hidden="false" customHeight="false" outlineLevel="0" collapsed="false">
      <c r="A14" s="9" t="s">
        <v>26</v>
      </c>
    </row>
    <row r="16" customFormat="false" ht="15" hidden="false" customHeight="false" outlineLevel="0" collapsed="false">
      <c r="A16" s="4" t="s">
        <v>27</v>
      </c>
      <c r="B16" s="6"/>
      <c r="C16" s="6"/>
      <c r="D16" s="6"/>
    </row>
    <row r="18" customFormat="false" ht="15" hidden="false" customHeight="false" outlineLevel="0" collapsed="false">
      <c r="A18" s="7" t="s">
        <v>28</v>
      </c>
      <c r="B18" s="10" t="n">
        <v>1.25</v>
      </c>
    </row>
    <row r="19" customFormat="false" ht="30" hidden="false" customHeight="true" outlineLevel="0" collapsed="false">
      <c r="A19" s="11" t="s">
        <v>29</v>
      </c>
      <c r="B19" s="12" t="s">
        <v>30</v>
      </c>
      <c r="C19" s="12" t="s">
        <v>31</v>
      </c>
    </row>
    <row r="20" customFormat="false" ht="15" hidden="false" customHeight="false" outlineLevel="0" collapsed="false">
      <c r="A20" s="7" t="s">
        <v>32</v>
      </c>
      <c r="B20" s="13" t="n">
        <v>0.0385</v>
      </c>
      <c r="C20" s="13" t="n">
        <v>0.0505</v>
      </c>
    </row>
    <row r="21" customFormat="false" ht="15" hidden="false" customHeight="false" outlineLevel="0" collapsed="false">
      <c r="A21" s="7" t="s">
        <v>33</v>
      </c>
      <c r="B21" s="13" t="n">
        <v>0.0398</v>
      </c>
      <c r="C21" s="13" t="n">
        <v>0.0512</v>
      </c>
    </row>
    <row r="22" customFormat="false" ht="15" hidden="false" customHeight="false" outlineLevel="0" collapsed="false">
      <c r="A22" s="7" t="s">
        <v>34</v>
      </c>
      <c r="B22" s="13" t="n">
        <v>0.0412</v>
      </c>
      <c r="C22" s="13" t="n">
        <v>0.0521</v>
      </c>
    </row>
    <row r="23" customFormat="false" ht="15" hidden="false" customHeight="false" outlineLevel="0" collapsed="false">
      <c r="A23" s="7" t="s">
        <v>35</v>
      </c>
      <c r="B23" s="13" t="n">
        <v>0.0425</v>
      </c>
      <c r="C23" s="13" t="n">
        <v>0.053</v>
      </c>
    </row>
    <row r="24" customFormat="false" ht="15" hidden="false" customHeight="false" outlineLevel="0" collapsed="false">
      <c r="A24" s="7" t="s">
        <v>36</v>
      </c>
      <c r="B24" s="13" t="n">
        <v>0.0436</v>
      </c>
      <c r="C24" s="13" t="n">
        <v>0.0538</v>
      </c>
    </row>
    <row r="25" customFormat="false" ht="15" hidden="false" customHeight="false" outlineLevel="0" collapsed="false">
      <c r="A25" s="9" t="s">
        <v>37</v>
      </c>
    </row>
    <row r="27" customFormat="false" ht="15" hidden="false" customHeight="false" outlineLevel="0" collapsed="false">
      <c r="A27" s="4" t="s">
        <v>38</v>
      </c>
      <c r="B27" s="6"/>
      <c r="C27" s="6"/>
      <c r="D27" s="6"/>
    </row>
    <row r="29" customFormat="false" ht="15" hidden="false" customHeight="false" outlineLevel="0" collapsed="false">
      <c r="A29" s="7" t="s">
        <v>39</v>
      </c>
      <c r="B29" s="14" t="n">
        <v>0.75</v>
      </c>
    </row>
    <row r="30" customFormat="false" ht="15" hidden="false" customHeight="false" outlineLevel="0" collapsed="false">
      <c r="A30" s="7" t="s">
        <v>40</v>
      </c>
      <c r="B30" s="13" t="n">
        <v>0.00025</v>
      </c>
    </row>
    <row r="31" customFormat="false" ht="15" hidden="false" customHeight="false" outlineLevel="0" collapsed="false">
      <c r="A31" s="7" t="s">
        <v>41</v>
      </c>
      <c r="B31" s="10" t="n">
        <v>0.0008</v>
      </c>
    </row>
    <row r="32" customFormat="false" ht="15" hidden="false" customHeight="false" outlineLevel="0" collapsed="false">
      <c r="A32" s="7" t="s">
        <v>42</v>
      </c>
      <c r="B32" s="13" t="n">
        <v>0.0011</v>
      </c>
    </row>
    <row r="33" customFormat="false" ht="15" hidden="false" customHeight="false" outlineLevel="0" collapsed="false">
      <c r="A33" s="7" t="s">
        <v>43</v>
      </c>
      <c r="B33" s="13" t="n">
        <v>0.0015</v>
      </c>
    </row>
    <row r="35" customFormat="false" ht="15" hidden="false" customHeight="false" outlineLevel="0" collapsed="false">
      <c r="A35" s="4" t="s">
        <v>44</v>
      </c>
      <c r="B35" s="6"/>
      <c r="C35" s="6"/>
      <c r="D35" s="6"/>
    </row>
    <row r="37" customFormat="false" ht="15" hidden="false" customHeight="false" outlineLevel="0" collapsed="false">
      <c r="A37" s="7" t="s">
        <v>45</v>
      </c>
      <c r="B37" s="15" t="n">
        <v>26000</v>
      </c>
    </row>
    <row r="38" customFormat="false" ht="15" hidden="false" customHeight="false" outlineLevel="0" collapsed="false">
      <c r="A38" s="7" t="s">
        <v>46</v>
      </c>
      <c r="B38" s="16" t="n">
        <v>2450</v>
      </c>
    </row>
    <row r="39" customFormat="false" ht="15" hidden="false" customHeight="false" outlineLevel="0" collapsed="false">
      <c r="A39" s="7" t="s">
        <v>47</v>
      </c>
      <c r="B39" s="13" t="n">
        <v>0.0412</v>
      </c>
    </row>
    <row r="40" customFormat="false" ht="15" hidden="false" customHeight="false" outlineLevel="0" collapsed="false">
      <c r="A40" s="7" t="s">
        <v>48</v>
      </c>
      <c r="B40" s="14" t="n">
        <v>0.24</v>
      </c>
    </row>
    <row r="41" customFormat="false" ht="15" hidden="false" customHeight="false" outlineLevel="0" collapsed="false">
      <c r="A41" s="7" t="s">
        <v>49</v>
      </c>
      <c r="B41" s="16" t="n">
        <v>2680</v>
      </c>
    </row>
    <row r="42" customFormat="false" ht="15" hidden="false" customHeight="false" outlineLevel="0" collapsed="false">
      <c r="A42" s="7" t="s">
        <v>50</v>
      </c>
      <c r="B42" s="16" t="n">
        <v>2300</v>
      </c>
    </row>
    <row r="43" customFormat="false" ht="15" hidden="false" customHeight="false" outlineLevel="0" collapsed="false">
      <c r="A43" s="9" t="s">
        <v>51</v>
      </c>
    </row>
    <row r="45" customFormat="false" ht="15" hidden="false" customHeight="false" outlineLevel="0" collapsed="false">
      <c r="A45" s="4" t="s">
        <v>52</v>
      </c>
      <c r="B45" s="6"/>
      <c r="C45" s="6"/>
      <c r="D45" s="6"/>
    </row>
    <row r="47" customFormat="false" ht="30" hidden="false" customHeight="true" outlineLevel="0" collapsed="false">
      <c r="A47" s="11" t="s">
        <v>53</v>
      </c>
      <c r="B47" s="12" t="s">
        <v>54</v>
      </c>
      <c r="C47" s="12" t="s">
        <v>55</v>
      </c>
      <c r="D47" s="12" t="s">
        <v>56</v>
      </c>
    </row>
    <row r="48" customFormat="false" ht="15" hidden="false" customHeight="false" outlineLevel="0" collapsed="false">
      <c r="A48" s="7" t="s">
        <v>57</v>
      </c>
      <c r="B48" s="10" t="n">
        <v>1.25</v>
      </c>
      <c r="C48" s="13" t="n">
        <v>0.0385</v>
      </c>
      <c r="D48" s="16" t="n">
        <v>2450</v>
      </c>
    </row>
    <row r="49" customFormat="false" ht="15" hidden="false" customHeight="false" outlineLevel="0" collapsed="false">
      <c r="A49" s="7" t="s">
        <v>58</v>
      </c>
      <c r="B49" s="10" t="n">
        <v>1.19</v>
      </c>
      <c r="C49" s="13" t="n">
        <v>0.0455</v>
      </c>
      <c r="D49" s="16" t="n">
        <v>2720</v>
      </c>
    </row>
    <row r="50" customFormat="false" ht="15" hidden="false" customHeight="false" outlineLevel="0" collapsed="false">
      <c r="A50" s="7" t="s">
        <v>59</v>
      </c>
      <c r="B50" s="10" t="n">
        <v>1.14</v>
      </c>
      <c r="C50" s="13" t="n">
        <v>0.052</v>
      </c>
      <c r="D50" s="16" t="n">
        <v>2910</v>
      </c>
    </row>
    <row r="51" customFormat="false" ht="15" hidden="false" customHeight="false" outlineLevel="0" collapsed="false">
      <c r="A51" s="7" t="s">
        <v>60</v>
      </c>
      <c r="B51" s="10" t="n">
        <v>1.175</v>
      </c>
      <c r="C51" s="13" t="n">
        <v>0.0495</v>
      </c>
      <c r="D51" s="16" t="n">
        <v>2640</v>
      </c>
    </row>
    <row r="52" customFormat="false" ht="15" hidden="false" customHeight="false" outlineLevel="0" collapsed="false">
      <c r="A52" s="7" t="s">
        <v>61</v>
      </c>
      <c r="B52" s="10" t="n">
        <v>1.22</v>
      </c>
      <c r="C52" s="13" t="n">
        <v>0.043</v>
      </c>
      <c r="D52" s="16" t="n">
        <v>2480</v>
      </c>
    </row>
    <row r="53" customFormat="false" ht="15" hidden="false" customHeight="false" outlineLevel="0" collapsed="false">
      <c r="A53" s="7" t="s">
        <v>62</v>
      </c>
      <c r="B53" s="10" t="n">
        <v>1.26</v>
      </c>
      <c r="C53" s="13" t="n">
        <v>0.0395</v>
      </c>
      <c r="D53" s="16" t="n">
        <v>2360</v>
      </c>
    </row>
    <row r="54" customFormat="false" ht="15" hidden="false" customHeight="false" outlineLevel="0" collapsed="false">
      <c r="A54" s="9"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3"/>
    <col collapsed="false" customWidth="true" hidden="false" outlineLevel="0" max="6" min="6" style="0" width="14"/>
    <col collapsed="false" customWidth="true" hidden="false" outlineLevel="0" max="10" min="7" style="0" width="15"/>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66</v>
      </c>
      <c r="B5" s="6"/>
      <c r="C5" s="6"/>
      <c r="D5" s="6"/>
      <c r="E5" s="6"/>
      <c r="F5" s="6"/>
      <c r="G5" s="6"/>
      <c r="H5" s="6"/>
      <c r="I5" s="6"/>
      <c r="J5" s="6"/>
    </row>
    <row r="7" customFormat="false" ht="30" hidden="false" customHeight="true" outlineLevel="0" collapsed="false">
      <c r="A7" s="11" t="s">
        <v>29</v>
      </c>
      <c r="B7" s="12" t="s">
        <v>67</v>
      </c>
      <c r="C7" s="12" t="s">
        <v>68</v>
      </c>
      <c r="D7" s="12" t="s">
        <v>69</v>
      </c>
      <c r="E7" s="12" t="s">
        <v>70</v>
      </c>
      <c r="F7" s="12" t="s">
        <v>71</v>
      </c>
      <c r="G7" s="12" t="s">
        <v>72</v>
      </c>
      <c r="H7" s="12" t="s">
        <v>73</v>
      </c>
      <c r="I7" s="12" t="s">
        <v>74</v>
      </c>
      <c r="J7" s="12" t="s">
        <v>75</v>
      </c>
    </row>
    <row r="8" customFormat="false" ht="15" hidden="false" customHeight="false" outlineLevel="0" collapsed="false">
      <c r="A8" s="7" t="s">
        <v>32</v>
      </c>
      <c r="B8" s="17" t="n">
        <f aca="false">INDEX(ParG,1)</f>
        <v>0.0385</v>
      </c>
      <c r="C8" s="17" t="n">
        <f aca="false">INDEX(ParU,1)</f>
        <v>0.0505</v>
      </c>
      <c r="D8" s="18" t="n">
        <f aca="false">1/(1+B8)</f>
        <v>0.962927298988926</v>
      </c>
      <c r="E8" s="18" t="n">
        <f aca="false">1/(1+C8)</f>
        <v>0.951927653498334</v>
      </c>
      <c r="F8" s="19" t="n">
        <f aca="false">Spot*D8/E8</f>
        <v>1.26444390948483</v>
      </c>
      <c r="G8" s="17" t="n">
        <f aca="false">1/D8-1</f>
        <v>0.0385</v>
      </c>
      <c r="H8" s="18" t="n">
        <f aca="false">1/(1+B8-CsaSp)</f>
        <v>0.964320154291225</v>
      </c>
      <c r="I8" s="18" t="n">
        <f aca="false">B8*SUM($D$8:D8)+D8</f>
        <v>1</v>
      </c>
      <c r="J8" s="18" t="n">
        <f aca="false">C8*SUM($E$8:E8)+E8</f>
        <v>1</v>
      </c>
    </row>
    <row r="9" customFormat="false" ht="15" hidden="false" customHeight="false" outlineLevel="0" collapsed="false">
      <c r="A9" s="20" t="s">
        <v>33</v>
      </c>
      <c r="B9" s="21" t="n">
        <f aca="false">INDEX(ParG,2)</f>
        <v>0.0398</v>
      </c>
      <c r="C9" s="21" t="n">
        <f aca="false">INDEX(ParU,2)</f>
        <v>0.0512</v>
      </c>
      <c r="D9" s="22" t="n">
        <f aca="false">(1-B9*SUM($D$8:D8))/(1+B9)</f>
        <v>0.924865833333565</v>
      </c>
      <c r="E9" s="22" t="n">
        <f aca="false">(1-C9*SUM($E$8:E8))/(1+C9)</f>
        <v>0.904928942295363</v>
      </c>
      <c r="F9" s="23" t="n">
        <f aca="false">Spot*D9/E9</f>
        <v>1.27753930461605</v>
      </c>
      <c r="G9" s="21" t="n">
        <f aca="false">D8/D9-1</f>
        <v>0.0411534995494143</v>
      </c>
      <c r="H9" s="22" t="n">
        <f aca="false">(1-(B9-CsaSp)*SUM($H$8:H8))/(1+B9-CsaSp)</f>
        <v>0.927541691313345</v>
      </c>
      <c r="I9" s="22" t="n">
        <f aca="false">B9*SUM($D$8:D9)+D9</f>
        <v>1</v>
      </c>
      <c r="J9" s="22" t="n">
        <f aca="false">C9*SUM($E$8:E9)+E9</f>
        <v>1</v>
      </c>
    </row>
    <row r="10" customFormat="false" ht="15" hidden="false" customHeight="false" outlineLevel="0" collapsed="false">
      <c r="A10" s="7" t="s">
        <v>34</v>
      </c>
      <c r="B10" s="17" t="n">
        <f aca="false">INDEX(ParG,3)</f>
        <v>0.0412</v>
      </c>
      <c r="C10" s="17" t="n">
        <f aca="false">INDEX(ParU,3)</f>
        <v>0.0521</v>
      </c>
      <c r="D10" s="18" t="n">
        <f aca="false">(1-B10*SUM($D$8:D9))/(1+B10)</f>
        <v>0.8857308134348</v>
      </c>
      <c r="E10" s="18" t="n">
        <f aca="false">(1-C10*SUM($E$8:E9))/(1+C10)</f>
        <v>0.858528439653216</v>
      </c>
      <c r="F10" s="19" t="n">
        <f aca="false">Spot*D10/E10</f>
        <v>1.28960610465125</v>
      </c>
      <c r="G10" s="17" t="n">
        <f aca="false">D9/D10-1</f>
        <v>0.0441838754000239</v>
      </c>
      <c r="H10" s="18" t="n">
        <f aca="false">(1-(B10-CsaSp)*SUM($H$8:H9))/(1+B10-CsaSp)</f>
        <v>0.889576882494468</v>
      </c>
      <c r="I10" s="18" t="n">
        <f aca="false">B10*SUM($D$8:D10)+D10</f>
        <v>1</v>
      </c>
      <c r="J10" s="18" t="n">
        <f aca="false">C10*SUM($E$8:E10)+E10</f>
        <v>1</v>
      </c>
    </row>
    <row r="11" customFormat="false" ht="15" hidden="false" customHeight="false" outlineLevel="0" collapsed="false">
      <c r="A11" s="20" t="s">
        <v>35</v>
      </c>
      <c r="B11" s="21" t="n">
        <f aca="false">INDEX(ParG,4)</f>
        <v>0.0425</v>
      </c>
      <c r="C11" s="21" t="n">
        <f aca="false">INDEX(ParU,4)</f>
        <v>0.053</v>
      </c>
      <c r="D11" s="22" t="n">
        <f aca="false">(1-B11*SUM($D$8:D10))/(1+B11)</f>
        <v>0.846163292379199</v>
      </c>
      <c r="E11" s="22" t="n">
        <f aca="false">(1-C11*SUM($E$8:E10))/(1+C11)</f>
        <v>0.812995814930023</v>
      </c>
      <c r="F11" s="23" t="n">
        <f aca="false">Spot*D11/E11</f>
        <v>1.30099576904346</v>
      </c>
      <c r="G11" s="21" t="n">
        <f aca="false">D10/D11-1</f>
        <v>0.0467610937651841</v>
      </c>
      <c r="H11" s="22" t="n">
        <f aca="false">(1-(B11-CsaSp)*SUM($H$8:H10))/(1+B11-CsaSp)</f>
        <v>0.851067254705033</v>
      </c>
      <c r="I11" s="22" t="n">
        <f aca="false">B11*SUM($D$8:D11)+D11</f>
        <v>1</v>
      </c>
      <c r="J11" s="22" t="n">
        <f aca="false">C11*SUM($E$8:E11)+E11</f>
        <v>1</v>
      </c>
    </row>
    <row r="12" customFormat="false" ht="15" hidden="false" customHeight="false" outlineLevel="0" collapsed="false">
      <c r="A12" s="7" t="s">
        <v>36</v>
      </c>
      <c r="B12" s="17" t="n">
        <f aca="false">INDEX(ParG,5)</f>
        <v>0.0436</v>
      </c>
      <c r="C12" s="17" t="n">
        <f aca="false">INDEX(ParU,5)</f>
        <v>0.0538</v>
      </c>
      <c r="D12" s="18" t="n">
        <f aca="false">(1-B12*SUM($D$8:D11))/(1+B12)</f>
        <v>0.806996585298245</v>
      </c>
      <c r="E12" s="18" t="n">
        <f aca="false">(1-C12*SUM($E$8:E11))/(1+C12)</f>
        <v>0.768811074444601</v>
      </c>
      <c r="F12" s="19" t="n">
        <f aca="false">Spot*D12/E12</f>
        <v>1.31208532909276</v>
      </c>
      <c r="G12" s="17" t="n">
        <f aca="false">D11/D12-1</f>
        <v>0.048533919219099</v>
      </c>
      <c r="H12" s="18" t="n">
        <f aca="false">(1-(B12-CsaSp)*SUM($H$8:H11))/(1+B12-CsaSp)</f>
        <v>0.812850492394155</v>
      </c>
      <c r="I12" s="18" t="n">
        <f aca="false">B12*SUM($D$8:D12)+D12</f>
        <v>1</v>
      </c>
      <c r="J12" s="18" t="n">
        <f aca="false">C12*SUM($E$8:E12)+E12</f>
        <v>1</v>
      </c>
    </row>
    <row r="13" customFormat="false" ht="15" hidden="false" customHeight="false" outlineLevel="0" collapsed="false">
      <c r="A13" s="9" t="s">
        <v>76</v>
      </c>
    </row>
    <row r="15" customFormat="false" ht="15" hidden="false" customHeight="false" outlineLevel="0" collapsed="false">
      <c r="A15" s="4" t="s">
        <v>77</v>
      </c>
      <c r="B15" s="6"/>
      <c r="C15" s="6"/>
      <c r="D15" s="6"/>
      <c r="E15" s="6"/>
      <c r="F15" s="6"/>
      <c r="G15" s="6"/>
      <c r="H15" s="6"/>
    </row>
    <row r="17" customFormat="false" ht="15" hidden="false" customHeight="false" outlineLevel="0" collapsed="false">
      <c r="A17" s="7" t="s">
        <v>78</v>
      </c>
      <c r="B17" s="18" t="n">
        <f aca="false">SUM(DFG)</f>
        <v>4.42668382343474</v>
      </c>
    </row>
    <row r="18" customFormat="false" ht="15" hidden="false" customHeight="false" outlineLevel="0" collapsed="false">
      <c r="A18" s="7" t="s">
        <v>79</v>
      </c>
      <c r="B18" s="18" t="n">
        <f aca="false">SUM(DFCSA)</f>
        <v>4.44535647519823</v>
      </c>
    </row>
    <row r="19" customFormat="false" ht="15" hidden="false" customHeight="false" outlineLevel="0" collapsed="false">
      <c r="A19" s="7" t="s">
        <v>80</v>
      </c>
      <c r="B19" s="17" t="n">
        <f aca="false">(1-INDEX(DFG,5))/SUM(DFG)</f>
        <v>0.0436</v>
      </c>
    </row>
    <row r="20" customFormat="false" ht="15" hidden="false" customHeight="false" outlineLevel="0" collapsed="false">
      <c r="A20" s="7" t="s">
        <v>81</v>
      </c>
      <c r="B20" s="17" t="n">
        <f aca="false">SwapMid+BoIrs</f>
        <v>0.04385</v>
      </c>
    </row>
    <row r="21" customFormat="false" ht="15" hidden="false" customHeight="false" outlineLevel="0" collapsed="false">
      <c r="A21" s="7" t="s">
        <v>82</v>
      </c>
      <c r="B21" s="18" t="n">
        <f aca="false">INDEX(DFG,1)/INDEX(DFU,1)</f>
        <v>1.01155512758787</v>
      </c>
    </row>
    <row r="22" customFormat="false" ht="15" hidden="false" customHeight="false" outlineLevel="0" collapsed="false">
      <c r="A22" s="7" t="s">
        <v>83</v>
      </c>
      <c r="B22" s="19" t="n">
        <f aca="false">Spot*Diff1</f>
        <v>1.26444390948483</v>
      </c>
    </row>
    <row r="23" customFormat="false" ht="15" hidden="false" customHeight="false" outlineLevel="0" collapsed="false">
      <c r="A23" s="7" t="s">
        <v>84</v>
      </c>
      <c r="B23" s="24" t="n">
        <f aca="false">UsdSales*Cover</f>
        <v>135000000</v>
      </c>
    </row>
    <row r="24" customFormat="false" ht="15" hidden="false" customHeight="false" outlineLevel="0" collapsed="false">
      <c r="A24" s="7" t="s">
        <v>85</v>
      </c>
      <c r="B24" s="24" t="n">
        <f aca="false">UsdSales*(1-Cover)</f>
        <v>45000000</v>
      </c>
    </row>
    <row r="25" customFormat="false" ht="15" hidden="false" customHeight="false" outlineLevel="0" collapsed="false">
      <c r="A25" s="7" t="s">
        <v>86</v>
      </c>
      <c r="B25" s="24" t="n">
        <f aca="false">Cash+Facility</f>
        <v>36000000</v>
      </c>
    </row>
    <row r="27" customFormat="false" ht="15" hidden="false" customHeight="false" outlineLevel="0" collapsed="false">
      <c r="A27" s="4" t="s">
        <v>87</v>
      </c>
      <c r="B27" s="6"/>
      <c r="C27" s="6"/>
      <c r="D27" s="6"/>
      <c r="E27" s="6"/>
      <c r="F27" s="6"/>
      <c r="G27" s="6"/>
      <c r="H27" s="6"/>
    </row>
    <row r="29" customFormat="false" ht="15" hidden="false" customHeight="false" outlineLevel="0" collapsed="false">
      <c r="A29" s="7" t="s">
        <v>88</v>
      </c>
      <c r="B29" s="25" t="n">
        <f aca="false">MAX(ABS(MAX(I8:J12)-1),ABS(1-MIN(I8:J12)))</f>
        <v>0</v>
      </c>
    </row>
    <row r="30" customFormat="false" ht="15" hidden="false" customHeight="false" outlineLevel="0" collapsed="false">
      <c r="A30" s="7" t="s">
        <v>89</v>
      </c>
      <c r="B30" s="25" t="n">
        <f aca="false">INDEX(ParG,5)-SwapMid</f>
        <v>0</v>
      </c>
    </row>
    <row r="31" customFormat="false" ht="15" hidden="false" customHeight="false" outlineLevel="0" collapsed="false">
      <c r="A31" s="7" t="s">
        <v>90</v>
      </c>
      <c r="B31" s="25" t="n">
        <f aca="false">Spot*Diff1-INDEX(FWDFX,1)</f>
        <v>0</v>
      </c>
    </row>
    <row r="32" customFormat="false" ht="15" hidden="false" customHeight="false" outlineLevel="0" collapsed="false">
      <c r="A32" s="7" t="s">
        <v>91</v>
      </c>
      <c r="B32" s="25" t="n">
        <f aca="false">SUMPRODUCT(FWDIMP,DFG)-(1-INDEX(DFG,5))</f>
        <v>0</v>
      </c>
    </row>
    <row r="33" customFormat="false" ht="15" hidden="false" customHeight="false" outlineLevel="0" collapsed="false">
      <c r="A33" s="9"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4" min="2" style="0" width="13"/>
    <col collapsed="false" customWidth="true" hidden="false" outlineLevel="0" max="5" min="5" style="0" width="16"/>
    <col collapsed="false" customWidth="true" hidden="false" outlineLevel="0" max="6" min="6" style="0" width="15"/>
    <col collapsed="false" customWidth="true" hidden="false" outlineLevel="0" max="11" min="7" style="0" width="17"/>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4" t="s">
        <v>95</v>
      </c>
      <c r="B5" s="6"/>
      <c r="C5" s="6"/>
      <c r="D5" s="6"/>
      <c r="E5" s="6"/>
      <c r="F5" s="6"/>
      <c r="G5" s="6"/>
      <c r="H5" s="6"/>
      <c r="I5" s="6"/>
      <c r="J5" s="6"/>
      <c r="K5" s="6"/>
    </row>
    <row r="7" customFormat="false" ht="30" hidden="false" customHeight="true" outlineLevel="0" collapsed="false">
      <c r="A7" s="11" t="s">
        <v>29</v>
      </c>
      <c r="B7" s="12" t="s">
        <v>96</v>
      </c>
      <c r="C7" s="12" t="s">
        <v>97</v>
      </c>
      <c r="D7" s="12" t="s">
        <v>98</v>
      </c>
      <c r="E7" s="12" t="s">
        <v>99</v>
      </c>
      <c r="F7" s="12" t="s">
        <v>100</v>
      </c>
      <c r="G7" s="12" t="s">
        <v>101</v>
      </c>
      <c r="H7" s="12" t="s">
        <v>102</v>
      </c>
      <c r="I7" s="12" t="s">
        <v>103</v>
      </c>
      <c r="J7" s="12" t="s">
        <v>104</v>
      </c>
      <c r="K7" s="12" t="s">
        <v>105</v>
      </c>
    </row>
    <row r="8" customFormat="false" ht="15" hidden="false" customHeight="false" outlineLevel="0" collapsed="false">
      <c r="A8" s="7" t="s">
        <v>106</v>
      </c>
      <c r="B8" s="19" t="n">
        <f aca="false">INDEX(SpotP,1)</f>
        <v>1.25</v>
      </c>
      <c r="C8" s="19" t="n">
        <f aca="false">B8*Diff1</f>
        <v>1.26444390948483</v>
      </c>
      <c r="D8" s="19" t="n">
        <f aca="false">INDEX(SpotP,2)</f>
        <v>1.19</v>
      </c>
      <c r="E8" s="24" t="n">
        <f aca="false">Hedged</f>
        <v>135000000</v>
      </c>
      <c r="F8" s="24" t="n">
        <f aca="false">Opened</f>
        <v>45000000</v>
      </c>
      <c r="G8" s="24" t="n">
        <f aca="false">E8/C8</f>
        <v>106766301.761066</v>
      </c>
      <c r="H8" s="24" t="n">
        <f aca="false">F8/D8</f>
        <v>37815126.0504202</v>
      </c>
      <c r="I8" s="24" t="n">
        <f aca="false">G8+H8</f>
        <v>144581427.811486</v>
      </c>
      <c r="J8" s="24" t="n">
        <f aca="false">UsdSales/D8</f>
        <v>151260504.201681</v>
      </c>
      <c r="K8" s="24" t="n">
        <f aca="false">E8/C8-E8/D8</f>
        <v>-6679076.39019436</v>
      </c>
    </row>
    <row r="9" customFormat="false" ht="15" hidden="false" customHeight="false" outlineLevel="0" collapsed="false">
      <c r="A9" s="20" t="s">
        <v>107</v>
      </c>
      <c r="B9" s="23" t="n">
        <f aca="false">INDEX(SpotP,2)</f>
        <v>1.19</v>
      </c>
      <c r="C9" s="23" t="n">
        <f aca="false">B9*Diff1</f>
        <v>1.20375060182956</v>
      </c>
      <c r="D9" s="23" t="n">
        <f aca="false">INDEX(SpotP,3)</f>
        <v>1.14</v>
      </c>
      <c r="E9" s="26" t="n">
        <f aca="false">Hedged</f>
        <v>135000000</v>
      </c>
      <c r="F9" s="26" t="n">
        <f aca="false">Opened</f>
        <v>45000000</v>
      </c>
      <c r="G9" s="26" t="n">
        <f aca="false">E9/C9</f>
        <v>112149476.639775</v>
      </c>
      <c r="H9" s="26" t="n">
        <f aca="false">F9/D9</f>
        <v>39473684.2105263</v>
      </c>
      <c r="I9" s="26" t="n">
        <f aca="false">G9+H9</f>
        <v>151623160.850302</v>
      </c>
      <c r="J9" s="26" t="n">
        <f aca="false">UsdSales/D9</f>
        <v>157894736.842105</v>
      </c>
      <c r="K9" s="26" t="n">
        <f aca="false">E9/C9-E9/D9</f>
        <v>-6271575.99180357</v>
      </c>
    </row>
    <row r="10" customFormat="false" ht="15" hidden="false" customHeight="false" outlineLevel="0" collapsed="false">
      <c r="A10" s="7" t="s">
        <v>108</v>
      </c>
      <c r="B10" s="19" t="n">
        <f aca="false">INDEX(SpotP,3)</f>
        <v>1.14</v>
      </c>
      <c r="C10" s="19" t="n">
        <f aca="false">B10*Diff1</f>
        <v>1.15317284545017</v>
      </c>
      <c r="D10" s="19" t="n">
        <f aca="false">INDEX(SpotP,4)</f>
        <v>1.175</v>
      </c>
      <c r="E10" s="24" t="n">
        <f aca="false">Hedged</f>
        <v>135000000</v>
      </c>
      <c r="F10" s="24" t="n">
        <f aca="false">Opened</f>
        <v>45000000</v>
      </c>
      <c r="G10" s="24" t="n">
        <f aca="false">E10/C10</f>
        <v>117068313.334502</v>
      </c>
      <c r="H10" s="24" t="n">
        <f aca="false">F10/D10</f>
        <v>38297872.3404255</v>
      </c>
      <c r="I10" s="24" t="n">
        <f aca="false">G10+H10</f>
        <v>155366185.674928</v>
      </c>
      <c r="J10" s="24" t="n">
        <f aca="false">UsdSales/D10</f>
        <v>153191489.361702</v>
      </c>
      <c r="K10" s="24" t="n">
        <f aca="false">E10/C10-E10/D10</f>
        <v>2174696.31322579</v>
      </c>
    </row>
    <row r="11" customFormat="false" ht="15" hidden="false" customHeight="false" outlineLevel="0" collapsed="false">
      <c r="A11" s="20" t="s">
        <v>109</v>
      </c>
      <c r="B11" s="23" t="n">
        <f aca="false">INDEX(SpotP,4)</f>
        <v>1.175</v>
      </c>
      <c r="C11" s="23" t="n">
        <f aca="false">B11*Diff1</f>
        <v>1.18857727491574</v>
      </c>
      <c r="D11" s="23" t="n">
        <f aca="false">INDEX(SpotP,5)</f>
        <v>1.22</v>
      </c>
      <c r="E11" s="26" t="n">
        <f aca="false">Hedged</f>
        <v>135000000</v>
      </c>
      <c r="F11" s="26" t="n">
        <f aca="false">Opened</f>
        <v>45000000</v>
      </c>
      <c r="G11" s="26" t="n">
        <f aca="false">E11/C11</f>
        <v>113581172.086241</v>
      </c>
      <c r="H11" s="26" t="n">
        <f aca="false">F11/D11</f>
        <v>36885245.9016393</v>
      </c>
      <c r="I11" s="26" t="n">
        <f aca="false">G11+H11</f>
        <v>150466417.98788</v>
      </c>
      <c r="J11" s="26" t="n">
        <f aca="false">UsdSales/D11</f>
        <v>147540983.606557</v>
      </c>
      <c r="K11" s="26" t="n">
        <f aca="false">E11/C11-E11/D11</f>
        <v>2925434.38132255</v>
      </c>
    </row>
    <row r="12" customFormat="false" ht="15" hidden="false" customHeight="false" outlineLevel="0" collapsed="false">
      <c r="A12" s="7" t="s">
        <v>110</v>
      </c>
      <c r="B12" s="19" t="n">
        <f aca="false">INDEX(SpotP,5)</f>
        <v>1.22</v>
      </c>
      <c r="C12" s="19" t="n">
        <f aca="false">B12*Diff1</f>
        <v>1.2340972556572</v>
      </c>
      <c r="D12" s="19" t="n">
        <f aca="false">INDEX(SpotP,6)</f>
        <v>1.26</v>
      </c>
      <c r="E12" s="24" t="n">
        <f aca="false">Hedged</f>
        <v>135000000</v>
      </c>
      <c r="F12" s="24" t="n">
        <f aca="false">Opened</f>
        <v>45000000</v>
      </c>
      <c r="G12" s="24" t="n">
        <f aca="false">E12/C12</f>
        <v>109391702.624043</v>
      </c>
      <c r="H12" s="24" t="n">
        <f aca="false">F12/D12</f>
        <v>35714285.7142857</v>
      </c>
      <c r="I12" s="24" t="n">
        <f aca="false">G12+H12</f>
        <v>145105988.338329</v>
      </c>
      <c r="J12" s="24" t="n">
        <f aca="false">UsdSales/D12</f>
        <v>142857142.857143</v>
      </c>
      <c r="K12" s="24" t="n">
        <f aca="false">E12/C12-E12/D12</f>
        <v>2248845.48118605</v>
      </c>
    </row>
    <row r="13" customFormat="false" ht="15" hidden="false" customHeight="false" outlineLevel="0" collapsed="false">
      <c r="A13" s="27" t="s">
        <v>111</v>
      </c>
      <c r="I13" s="28" t="n">
        <f aca="false">SUM(I8:I12)</f>
        <v>747143180.662925</v>
      </c>
      <c r="J13" s="28" t="n">
        <f aca="false">SUM(J8:J12)</f>
        <v>752744856.869188</v>
      </c>
      <c r="K13" s="28" t="n">
        <f aca="false">SUM(K8:K12)</f>
        <v>-5601676.20626354</v>
      </c>
    </row>
    <row r="15" customFormat="false" ht="15" hidden="false" customHeight="false" outlineLevel="0" collapsed="false">
      <c r="A15" s="7" t="s">
        <v>112</v>
      </c>
      <c r="B15" s="29" t="n">
        <f aca="false">'The rolling hedge'!$I$13-('The rolling hedge'!$J$13+'The rolling hedge'!$K$13)</f>
        <v>0</v>
      </c>
    </row>
    <row r="16" customFormat="false" ht="15" hidden="false" customHeight="false" outlineLevel="0" collapsed="false">
      <c r="A16" s="9"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5"/>
    <col collapsed="false" customWidth="true" hidden="false" outlineLevel="0" max="4" min="4" style="0" width="18"/>
    <col collapsed="false" customWidth="true" hidden="false" outlineLevel="0" max="7" min="5" style="0" width="20"/>
  </cols>
  <sheetData>
    <row r="1" customFormat="false" ht="24" hidden="false" customHeight="true" outlineLevel="0" collapsed="false">
      <c r="A1" s="1" t="s">
        <v>114</v>
      </c>
    </row>
    <row r="2" customFormat="false" ht="15" hidden="false" customHeight="false" outlineLevel="0" collapsed="false">
      <c r="A2" s="2" t="s">
        <v>115</v>
      </c>
    </row>
    <row r="3" customFormat="false" ht="15" hidden="false" customHeight="false" outlineLevel="0" collapsed="false">
      <c r="A3" s="3"/>
      <c r="B3" s="3"/>
      <c r="C3" s="3"/>
      <c r="D3" s="3"/>
      <c r="E3" s="3"/>
      <c r="F3" s="3"/>
      <c r="G3" s="3"/>
    </row>
    <row r="5" customFormat="false" ht="15" hidden="false" customHeight="false" outlineLevel="0" collapsed="false">
      <c r="A5" s="4" t="s">
        <v>116</v>
      </c>
      <c r="B5" s="6"/>
      <c r="C5" s="6"/>
      <c r="D5" s="6"/>
      <c r="E5" s="6"/>
      <c r="F5" s="6"/>
      <c r="G5" s="6"/>
    </row>
    <row r="7" customFormat="false" ht="30" hidden="false" customHeight="true" outlineLevel="0" collapsed="false">
      <c r="A7" s="11" t="s">
        <v>29</v>
      </c>
      <c r="B7" s="12" t="s">
        <v>98</v>
      </c>
      <c r="C7" s="12" t="s">
        <v>117</v>
      </c>
      <c r="D7" s="12" t="s">
        <v>118</v>
      </c>
      <c r="E7" s="12" t="s">
        <v>119</v>
      </c>
      <c r="F7" s="12" t="s">
        <v>120</v>
      </c>
      <c r="G7" s="12" t="s">
        <v>121</v>
      </c>
    </row>
    <row r="8" customFormat="false" ht="15" hidden="false" customHeight="false" outlineLevel="0" collapsed="false">
      <c r="A8" s="7" t="s">
        <v>106</v>
      </c>
      <c r="B8" s="19" t="n">
        <f aca="false">INDEX(SpotP,2)</f>
        <v>1.19</v>
      </c>
      <c r="C8" s="19" t="n">
        <f aca="false">INDEX(SpotP,1)*Diff1</f>
        <v>1.26444390948483</v>
      </c>
      <c r="D8" s="19" t="n">
        <f aca="false">INDEX(FWDFX,1)</f>
        <v>1.26444390948483</v>
      </c>
      <c r="E8" s="24" t="n">
        <f aca="false">UsdSales/B8</f>
        <v>151260504.201681</v>
      </c>
      <c r="F8" s="24" t="n">
        <f aca="false">Hedged/C8+Opened/B8</f>
        <v>144581427.811486</v>
      </c>
      <c r="G8" s="24" t="n">
        <f aca="false">Hedged/D8+Opened/B8</f>
        <v>144581427.811486</v>
      </c>
    </row>
    <row r="9" customFormat="false" ht="15" hidden="false" customHeight="false" outlineLevel="0" collapsed="false">
      <c r="A9" s="20" t="s">
        <v>107</v>
      </c>
      <c r="B9" s="23" t="n">
        <f aca="false">INDEX(SpotP,3)</f>
        <v>1.14</v>
      </c>
      <c r="C9" s="23" t="n">
        <f aca="false">INDEX(SpotP,2)*Diff1</f>
        <v>1.20375060182956</v>
      </c>
      <c r="D9" s="23" t="n">
        <f aca="false">INDEX(FWDFX,2)</f>
        <v>1.27753930461605</v>
      </c>
      <c r="E9" s="26" t="n">
        <f aca="false">UsdSales/B9</f>
        <v>157894736.842105</v>
      </c>
      <c r="F9" s="26" t="n">
        <f aca="false">Hedged/C9+Opened/B9</f>
        <v>151623160.850302</v>
      </c>
      <c r="G9" s="26" t="n">
        <f aca="false">Hedged/D9+Opened/B9</f>
        <v>145145579.793084</v>
      </c>
    </row>
    <row r="10" customFormat="false" ht="15" hidden="false" customHeight="false" outlineLevel="0" collapsed="false">
      <c r="A10" s="7" t="s">
        <v>108</v>
      </c>
      <c r="B10" s="19" t="n">
        <f aca="false">INDEX(SpotP,4)</f>
        <v>1.175</v>
      </c>
      <c r="C10" s="19" t="n">
        <f aca="false">INDEX(SpotP,3)*Diff1</f>
        <v>1.15317284545017</v>
      </c>
      <c r="D10" s="19" t="n">
        <f aca="false">INDEX(FWDFX,3)</f>
        <v>1.28960610465125</v>
      </c>
      <c r="E10" s="24" t="n">
        <f aca="false">UsdSales/B10</f>
        <v>153191489.361702</v>
      </c>
      <c r="F10" s="24" t="n">
        <f aca="false">Hedged/C10+Opened/B10</f>
        <v>155366185.674928</v>
      </c>
      <c r="G10" s="24" t="n">
        <f aca="false">Hedged/D10+Opened/B10</f>
        <v>142980999.624867</v>
      </c>
    </row>
    <row r="11" customFormat="false" ht="15" hidden="false" customHeight="false" outlineLevel="0" collapsed="false">
      <c r="A11" s="20" t="s">
        <v>109</v>
      </c>
      <c r="B11" s="23" t="n">
        <f aca="false">INDEX(SpotP,5)</f>
        <v>1.22</v>
      </c>
      <c r="C11" s="23" t="n">
        <f aca="false">INDEX(SpotP,4)*Diff1</f>
        <v>1.18857727491574</v>
      </c>
      <c r="D11" s="23" t="n">
        <f aca="false">INDEX(FWDFX,4)</f>
        <v>1.30099576904346</v>
      </c>
      <c r="E11" s="26" t="n">
        <f aca="false">UsdSales/B11</f>
        <v>147540983.606557</v>
      </c>
      <c r="F11" s="26" t="n">
        <f aca="false">Hedged/C11+Opened/B11</f>
        <v>150466417.98788</v>
      </c>
      <c r="G11" s="26" t="n">
        <f aca="false">Hedged/D11+Opened/B11</f>
        <v>140651916.948738</v>
      </c>
    </row>
    <row r="12" customFormat="false" ht="15" hidden="false" customHeight="false" outlineLevel="0" collapsed="false">
      <c r="A12" s="7" t="s">
        <v>110</v>
      </c>
      <c r="B12" s="19" t="n">
        <f aca="false">INDEX(SpotP,6)</f>
        <v>1.26</v>
      </c>
      <c r="C12" s="19" t="n">
        <f aca="false">INDEX(SpotP,5)*Diff1</f>
        <v>1.2340972556572</v>
      </c>
      <c r="D12" s="19" t="n">
        <f aca="false">INDEX(FWDFX,5)</f>
        <v>1.31208532909276</v>
      </c>
      <c r="E12" s="24" t="n">
        <f aca="false">UsdSales/B12</f>
        <v>142857142.857143</v>
      </c>
      <c r="F12" s="24" t="n">
        <f aca="false">Hedged/C12+Opened/B12</f>
        <v>145105988.338329</v>
      </c>
      <c r="G12" s="24" t="n">
        <f aca="false">Hedged/D12+Opened/B12</f>
        <v>138603935.500512</v>
      </c>
    </row>
    <row r="13" customFormat="false" ht="15" hidden="false" customHeight="false" outlineLevel="0" collapsed="false">
      <c r="A13" s="27" t="s">
        <v>111</v>
      </c>
      <c r="E13" s="28" t="n">
        <f aca="false">SUM(E8:E12)</f>
        <v>752744856.869188</v>
      </c>
      <c r="F13" s="28" t="n">
        <f aca="false">SUM(F8:F12)</f>
        <v>747143180.662925</v>
      </c>
      <c r="G13" s="28" t="n">
        <f aca="false">SUM(G8:G12)</f>
        <v>711963859.678687</v>
      </c>
    </row>
    <row r="15" customFormat="false" ht="15" hidden="false" customHeight="false" outlineLevel="0" collapsed="false">
      <c r="A15" s="4" t="s">
        <v>122</v>
      </c>
      <c r="B15" s="6"/>
      <c r="C15" s="6"/>
      <c r="D15" s="6"/>
      <c r="E15" s="6"/>
      <c r="F15" s="6"/>
      <c r="G15" s="6"/>
    </row>
    <row r="17" customFormat="false" ht="15" hidden="false" customHeight="false" outlineLevel="0" collapsed="false">
      <c r="A17" s="7" t="s">
        <v>123</v>
      </c>
      <c r="B17" s="24" t="n">
        <f aca="false">'Three policies'!$F$13-'Three policies'!$E$13</f>
        <v>-5601676.20626354</v>
      </c>
    </row>
    <row r="18" customFormat="false" ht="15" hidden="false" customHeight="false" outlineLevel="0" collapsed="false">
      <c r="A18" s="7" t="s">
        <v>124</v>
      </c>
      <c r="B18" s="24" t="n">
        <f aca="false">'Three policies'!$G$13-'Three policies'!$E$13</f>
        <v>-40780997.1905011</v>
      </c>
    </row>
    <row r="19" customFormat="false" ht="15" hidden="false" customHeight="false" outlineLevel="0" collapsed="false">
      <c r="A19" s="7" t="s">
        <v>125</v>
      </c>
      <c r="B19" s="24" t="n">
        <f aca="false">'Three policies'!$F$13-'Three policies'!$G$13</f>
        <v>35179320.9842376</v>
      </c>
    </row>
    <row r="20" customFormat="false" ht="15" hidden="false" customHeight="false" outlineLevel="0" collapsed="false">
      <c r="A20" s="9" t="s">
        <v>126</v>
      </c>
    </row>
    <row r="22" customFormat="false" ht="15" hidden="false" customHeight="false" outlineLevel="0" collapsed="false">
      <c r="A22" s="4" t="s">
        <v>127</v>
      </c>
    </row>
    <row r="24" customFormat="false" ht="15" hidden="false" customHeight="false" outlineLevel="0" collapsed="false">
      <c r="A24" s="11" t="s">
        <v>128</v>
      </c>
      <c r="B24" s="12" t="s">
        <v>129</v>
      </c>
      <c r="C24" s="12" t="s">
        <v>130</v>
      </c>
      <c r="D24" s="12" t="s">
        <v>131</v>
      </c>
    </row>
    <row r="25" customFormat="false" ht="15" hidden="false" customHeight="false" outlineLevel="0" collapsed="false">
      <c r="A25" s="7" t="s">
        <v>132</v>
      </c>
      <c r="B25" s="24" t="n">
        <f aca="false">MAX(E8:E12)</f>
        <v>157894736.842105</v>
      </c>
      <c r="C25" s="24" t="n">
        <f aca="false">MIN(E8:E12)</f>
        <v>142857142.857143</v>
      </c>
      <c r="D25" s="24" t="n">
        <f aca="false">B25-C25</f>
        <v>15037593.9849624</v>
      </c>
    </row>
    <row r="26" customFormat="false" ht="15" hidden="false" customHeight="false" outlineLevel="0" collapsed="false">
      <c r="A26" s="7" t="s">
        <v>133</v>
      </c>
      <c r="B26" s="24" t="n">
        <f aca="false">MAX(F8:F12)</f>
        <v>155366185.674928</v>
      </c>
      <c r="C26" s="24" t="n">
        <f aca="false">MIN(F8:F12)</f>
        <v>144581427.811486</v>
      </c>
      <c r="D26" s="24" t="n">
        <f aca="false">B26-C26</f>
        <v>10784757.8634416</v>
      </c>
    </row>
    <row r="27" customFormat="false" ht="15" hidden="false" customHeight="false" outlineLevel="0" collapsed="false">
      <c r="A27" s="7" t="s">
        <v>134</v>
      </c>
      <c r="B27" s="24" t="n">
        <f aca="false">MAX(G8:G12)</f>
        <v>145145579.793084</v>
      </c>
      <c r="C27" s="24" t="n">
        <f aca="false">MIN(G8:G12)</f>
        <v>138603935.500512</v>
      </c>
      <c r="D27" s="24" t="n">
        <f aca="false">B27-C27</f>
        <v>6541644.29257152</v>
      </c>
    </row>
    <row r="28" customFormat="false" ht="15" hidden="false" customHeight="false" outlineLevel="0" collapsed="false">
      <c r="A28" s="7" t="s">
        <v>135</v>
      </c>
      <c r="B28" s="24" t="n">
        <f aca="false">MAX(E8:G12)-MIN(E8:G12)</f>
        <v>19290801.3415933</v>
      </c>
    </row>
    <row r="29" customFormat="false" ht="15" hidden="false" customHeight="false" outlineLevel="0" collapsed="false">
      <c r="A29" s="9" t="s">
        <v>136</v>
      </c>
    </row>
    <row r="31" customFormat="false" ht="15" hidden="false" customHeight="false" outlineLevel="0" collapsed="false">
      <c r="A31" s="4" t="s">
        <v>137</v>
      </c>
    </row>
    <row r="33" customFormat="false" ht="15" hidden="false" customHeight="false" outlineLevel="0" collapsed="false">
      <c r="A33" s="7" t="s">
        <v>138</v>
      </c>
      <c r="B33" s="24" t="n">
        <f aca="false">(Notional*BoIrs+Hedged*BoFx/(Spot*(Spot+BoFx))+(Hedged/Fwd1+Notional)*Cva)*Ann</f>
        <v>1542782.19517444</v>
      </c>
    </row>
    <row r="34" customFormat="false" ht="15" hidden="false" customHeight="false" outlineLevel="0" collapsed="false">
      <c r="A34" s="7" t="s">
        <v>139</v>
      </c>
      <c r="B34" s="24" t="n">
        <f aca="false">(Notional*BoIrs+Hedged*BoFx/(Spot*(Spot+BoFx)))*Ann</f>
        <v>438577.203498022</v>
      </c>
    </row>
    <row r="35" customFormat="false" ht="15" hidden="false" customHeight="false" outlineLevel="0" collapsed="false">
      <c r="A35" s="7" t="s">
        <v>140</v>
      </c>
      <c r="B35" s="30" t="n">
        <f aca="false">'Three policies'!$B$19/'Three policies'!$B$33</f>
        <v>22.8025194316298</v>
      </c>
    </row>
    <row r="36" customFormat="false" ht="15" hidden="false" customHeight="false" outlineLevel="0" collapsed="false">
      <c r="A36" s="7" t="s">
        <v>141</v>
      </c>
      <c r="B36" s="30" t="n">
        <f aca="false">'Three policies'!$B$19/'Three policies'!$B$34</f>
        <v>80.2123792656182</v>
      </c>
    </row>
    <row r="37" customFormat="false" ht="15" hidden="false" customHeight="false" outlineLevel="0" collapsed="false">
      <c r="A37" s="7" t="s">
        <v>142</v>
      </c>
      <c r="B37" s="31" t="n">
        <f aca="false">'Three policies'!$B$19/Ebitda</f>
        <v>0.795912239462388</v>
      </c>
    </row>
    <row r="38" customFormat="false" ht="15" hidden="false" customHeight="false" outlineLevel="0" collapsed="false">
      <c r="A38" s="7" t="s">
        <v>143</v>
      </c>
      <c r="B38" s="24" t="n">
        <f aca="false">(Hedged*BoFx/(Spot*(Spot+BoFx))-Hedged*(BoFx-0.0002)/(Spot*(Spot+BoFx-0.0002)))*Ann</f>
        <v>76407.4966003768</v>
      </c>
    </row>
    <row r="39" customFormat="false" ht="15" hidden="false" customHeight="false" outlineLevel="0" collapsed="false">
      <c r="A39" s="7" t="s">
        <v>144</v>
      </c>
      <c r="B39" s="32" t="n">
        <f aca="false">'Three policies'!$B$19/'Three policies'!$B$38</f>
        <v>460.417139017535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4" min="2" style="0" width="20"/>
  </cols>
  <sheetData>
    <row r="1" customFormat="false" ht="24" hidden="false" customHeight="true" outlineLevel="0" collapsed="false">
      <c r="A1" s="1" t="s">
        <v>145</v>
      </c>
    </row>
    <row r="2" customFormat="false" ht="15" hidden="false" customHeight="false" outlineLevel="0" collapsed="false">
      <c r="A2" s="2" t="s">
        <v>146</v>
      </c>
    </row>
    <row r="3" customFormat="false" ht="15" hidden="false" customHeight="false" outlineLevel="0" collapsed="false">
      <c r="A3" s="3"/>
      <c r="B3" s="3"/>
      <c r="C3" s="3"/>
      <c r="D3" s="3"/>
    </row>
    <row r="5" customFormat="false" ht="15" hidden="false" customHeight="false" outlineLevel="0" collapsed="false">
      <c r="A5" s="7" t="s">
        <v>147</v>
      </c>
      <c r="B5" s="33" t="n">
        <v>0</v>
      </c>
    </row>
    <row r="7" customFormat="false" ht="30" hidden="false" customHeight="true" outlineLevel="0" collapsed="false">
      <c r="A7" s="11" t="s">
        <v>29</v>
      </c>
      <c r="B7" s="12" t="s">
        <v>148</v>
      </c>
      <c r="C7" s="12" t="s">
        <v>149</v>
      </c>
    </row>
    <row r="8" customFormat="false" ht="15" hidden="false" customHeight="false" outlineLevel="0" collapsed="false">
      <c r="A8" s="7" t="s">
        <v>106</v>
      </c>
      <c r="B8" s="19" t="n">
        <f aca="false">IF(Lock=1,INDEX(FWDFX,1),INDEX(SpotP,1)*Diff1)</f>
        <v>1.26444390948483</v>
      </c>
      <c r="C8" s="24" t="n">
        <f aca="false">Hedged/B8+Opened/INDEX(SpotP,2)</f>
        <v>144581427.811486</v>
      </c>
    </row>
    <row r="9" customFormat="false" ht="15" hidden="false" customHeight="false" outlineLevel="0" collapsed="false">
      <c r="A9" s="20" t="s">
        <v>107</v>
      </c>
      <c r="B9" s="23" t="n">
        <f aca="false">IF(Lock=1,INDEX(FWDFX,2),INDEX(SpotP,2)*Diff1)</f>
        <v>1.20375060182956</v>
      </c>
      <c r="C9" s="26" t="n">
        <f aca="false">Hedged/B9+Opened/INDEX(SpotP,3)</f>
        <v>151623160.850302</v>
      </c>
    </row>
    <row r="10" customFormat="false" ht="15" hidden="false" customHeight="false" outlineLevel="0" collapsed="false">
      <c r="A10" s="7" t="s">
        <v>108</v>
      </c>
      <c r="B10" s="19" t="n">
        <f aca="false">IF(Lock=1,INDEX(FWDFX,3),INDEX(SpotP,3)*Diff1)</f>
        <v>1.15317284545017</v>
      </c>
      <c r="C10" s="24" t="n">
        <f aca="false">Hedged/B10+Opened/INDEX(SpotP,4)</f>
        <v>155366185.674928</v>
      </c>
    </row>
    <row r="11" customFormat="false" ht="15" hidden="false" customHeight="false" outlineLevel="0" collapsed="false">
      <c r="A11" s="20" t="s">
        <v>109</v>
      </c>
      <c r="B11" s="23" t="n">
        <f aca="false">IF(Lock=1,INDEX(FWDFX,4),INDEX(SpotP,4)*Diff1)</f>
        <v>1.18857727491574</v>
      </c>
      <c r="C11" s="26" t="n">
        <f aca="false">Hedged/B11+Opened/INDEX(SpotP,5)</f>
        <v>150466417.98788</v>
      </c>
    </row>
    <row r="12" customFormat="false" ht="15" hidden="false" customHeight="false" outlineLevel="0" collapsed="false">
      <c r="A12" s="7" t="s">
        <v>110</v>
      </c>
      <c r="B12" s="19" t="n">
        <f aca="false">IF(Lock=1,INDEX(FWDFX,5),INDEX(SpotP,5)*Diff1)</f>
        <v>1.2340972556572</v>
      </c>
      <c r="C12" s="24" t="n">
        <f aca="false">Hedged/B12+Opened/INDEX(SpotP,6)</f>
        <v>145105988.338329</v>
      </c>
    </row>
    <row r="13" customFormat="false" ht="15" hidden="false" customHeight="false" outlineLevel="0" collapsed="false">
      <c r="A13" s="27" t="s">
        <v>111</v>
      </c>
      <c r="C13" s="28" t="n">
        <f aca="false">SUM(C8:C12)</f>
        <v>747143180.662925</v>
      </c>
    </row>
    <row r="15" customFormat="false" ht="15" hidden="false" customHeight="false" outlineLevel="0" collapsed="false">
      <c r="A15" s="7" t="s">
        <v>150</v>
      </c>
      <c r="B15" s="24" t="n">
        <f aca="false">'Tenor switch'!$C$13</f>
        <v>747143180.662925</v>
      </c>
    </row>
    <row r="16" customFormat="false" ht="15" hidden="false" customHeight="false" outlineLevel="0" collapsed="false">
      <c r="A16" s="7" t="s">
        <v>151</v>
      </c>
      <c r="B16" s="24" t="n">
        <f aca="false">'Tenor switch'!$C$13-'Three policies'!$E$13</f>
        <v>-5601676.20626354</v>
      </c>
    </row>
    <row r="17" customFormat="false" ht="15" hidden="false" customHeight="false" outlineLevel="0" collapsed="false">
      <c r="A17" s="7" t="s">
        <v>152</v>
      </c>
      <c r="B17" s="24" t="n">
        <f aca="false">'Tenor switch'!$C$13-IF(Lock=1,'Three policies'!$F$13,'Three policies'!$G$13)</f>
        <v>35179320.9842376</v>
      </c>
    </row>
    <row r="18" customFormat="false" ht="15" hidden="false" customHeight="false" outlineLevel="0" collapsed="false">
      <c r="A18" s="9" t="s">
        <v>153</v>
      </c>
    </row>
  </sheetData>
  <dataValidations count="1">
    <dataValidation allowBlank="false" errorStyle="stop" operator="between" showDropDown="false" showErrorMessage="false" showInputMessage="false" sqref="B5"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154</v>
      </c>
    </row>
    <row r="2" customFormat="false" ht="15" hidden="false" customHeight="false" outlineLevel="0" collapsed="false">
      <c r="A2" s="2" t="s">
        <v>155</v>
      </c>
    </row>
    <row r="3" customFormat="false" ht="15" hidden="false" customHeight="false" outlineLevel="0" collapsed="false">
      <c r="A3" s="3"/>
      <c r="B3" s="3"/>
      <c r="C3" s="3"/>
      <c r="D3" s="3"/>
      <c r="E3" s="3"/>
      <c r="F3" s="3"/>
    </row>
    <row r="5" customFormat="false" ht="15" hidden="false" customHeight="false" outlineLevel="0" collapsed="false">
      <c r="A5" s="9" t="s">
        <v>156</v>
      </c>
    </row>
    <row r="7" customFormat="false" ht="30" hidden="false" customHeight="true" outlineLevel="0" collapsed="false">
      <c r="A7" s="11" t="s">
        <v>157</v>
      </c>
      <c r="B7" s="12" t="s">
        <v>158</v>
      </c>
      <c r="C7" s="12" t="s">
        <v>159</v>
      </c>
      <c r="D7" s="12" t="s">
        <v>160</v>
      </c>
      <c r="E7" s="12" t="s">
        <v>161</v>
      </c>
      <c r="F7" s="12" t="s">
        <v>162</v>
      </c>
    </row>
    <row r="8" customFormat="false" ht="15" hidden="false" customHeight="false" outlineLevel="0" collapsed="false">
      <c r="A8" s="7" t="s">
        <v>163</v>
      </c>
      <c r="B8" s="7" t="s">
        <v>164</v>
      </c>
      <c r="C8" s="19" t="n">
        <v>1.25</v>
      </c>
      <c r="D8" s="19" t="n">
        <f aca="false">'The rolling hedge'!$B$8</f>
        <v>1.25</v>
      </c>
      <c r="E8" s="29" t="n">
        <f aca="false">D8-C8</f>
        <v>0</v>
      </c>
      <c r="F8" s="34" t="str">
        <f aca="false">IF(ABS(E8)&lt;=0.00005,"PASS","FAIL")</f>
        <v>PASS</v>
      </c>
    </row>
    <row r="9" customFormat="false" ht="15" hidden="false" customHeight="false" outlineLevel="0" collapsed="false">
      <c r="A9" s="20" t="s">
        <v>163</v>
      </c>
      <c r="B9" s="20" t="s">
        <v>165</v>
      </c>
      <c r="C9" s="23" t="n">
        <v>1.2644</v>
      </c>
      <c r="D9" s="23" t="n">
        <f aca="false">'The rolling hedge'!$C$8</f>
        <v>1.26444390948483</v>
      </c>
      <c r="E9" s="35" t="n">
        <f aca="false">D9-C9</f>
        <v>4.39094848339039E-005</v>
      </c>
      <c r="F9" s="36" t="str">
        <f aca="false">IF(ABS(E9)&lt;=0.00005,"PASS","FAIL")</f>
        <v>PASS</v>
      </c>
    </row>
    <row r="10" customFormat="false" ht="15" hidden="false" customHeight="false" outlineLevel="0" collapsed="false">
      <c r="A10" s="7" t="s">
        <v>163</v>
      </c>
      <c r="B10" s="7" t="s">
        <v>166</v>
      </c>
      <c r="C10" s="19" t="n">
        <v>1.19</v>
      </c>
      <c r="D10" s="19" t="n">
        <f aca="false">'The rolling hedge'!$D$8</f>
        <v>1.19</v>
      </c>
      <c r="E10" s="29" t="n">
        <f aca="false">D10-C10</f>
        <v>0</v>
      </c>
      <c r="F10" s="34" t="str">
        <f aca="false">IF(ABS(E10)&lt;=0.00005,"PASS","FAIL")</f>
        <v>PASS</v>
      </c>
    </row>
    <row r="11" customFormat="false" ht="15" hidden="false" customHeight="false" outlineLevel="0" collapsed="false">
      <c r="A11" s="20" t="s">
        <v>163</v>
      </c>
      <c r="B11" s="20" t="s">
        <v>167</v>
      </c>
      <c r="C11" s="23" t="n">
        <v>1.1532</v>
      </c>
      <c r="D11" s="23" t="n">
        <f aca="false">'The rolling hedge'!$C$10</f>
        <v>1.15317284545017</v>
      </c>
      <c r="E11" s="35" t="n">
        <f aca="false">D11-C11</f>
        <v>-2.71545498315984E-005</v>
      </c>
      <c r="F11" s="36" t="str">
        <f aca="false">IF(ABS(E11)&lt;=0.00005,"PASS","FAIL")</f>
        <v>PASS</v>
      </c>
    </row>
    <row r="12" customFormat="false" ht="15" hidden="false" customHeight="false" outlineLevel="0" collapsed="false">
      <c r="A12" s="7" t="s">
        <v>163</v>
      </c>
      <c r="B12" s="7" t="s">
        <v>168</v>
      </c>
      <c r="C12" s="19" t="n">
        <v>1.2341</v>
      </c>
      <c r="D12" s="19" t="n">
        <f aca="false">'The rolling hedge'!$C$12</f>
        <v>1.2340972556572</v>
      </c>
      <c r="E12" s="29" t="n">
        <f aca="false">D12-C12</f>
        <v>-2.74434280211899E-006</v>
      </c>
      <c r="F12" s="34" t="str">
        <f aca="false">IF(ABS(E12)&lt;=0.00005,"PASS","FAIL")</f>
        <v>PASS</v>
      </c>
    </row>
    <row r="13" customFormat="false" ht="15" hidden="false" customHeight="false" outlineLevel="0" collapsed="false">
      <c r="A13" s="20" t="s">
        <v>163</v>
      </c>
      <c r="B13" s="20" t="s">
        <v>84</v>
      </c>
      <c r="C13" s="26" t="n">
        <v>135000000</v>
      </c>
      <c r="D13" s="26" t="n">
        <f aca="false">'The rolling hedge'!$E$8</f>
        <v>135000000</v>
      </c>
      <c r="E13" s="35" t="n">
        <f aca="false">D13-C13</f>
        <v>0</v>
      </c>
      <c r="F13" s="36" t="str">
        <f aca="false">IF(ABS(E13)&lt;=0.5,"PASS","FAIL")</f>
        <v>PASS</v>
      </c>
    </row>
    <row r="14" customFormat="false" ht="15" hidden="false" customHeight="false" outlineLevel="0" collapsed="false">
      <c r="A14" s="7" t="s">
        <v>163</v>
      </c>
      <c r="B14" s="7" t="s">
        <v>85</v>
      </c>
      <c r="C14" s="24" t="n">
        <v>45000000</v>
      </c>
      <c r="D14" s="24" t="n">
        <f aca="false">'The rolling hedge'!$F$8</f>
        <v>45000000</v>
      </c>
      <c r="E14" s="29" t="n">
        <f aca="false">D14-C14</f>
        <v>0</v>
      </c>
      <c r="F14" s="34" t="str">
        <f aca="false">IF(ABS(E14)&lt;=0.5,"PASS","FAIL")</f>
        <v>PASS</v>
      </c>
    </row>
    <row r="15" customFormat="false" ht="15" hidden="false" customHeight="false" outlineLevel="0" collapsed="false">
      <c r="A15" s="20" t="s">
        <v>163</v>
      </c>
      <c r="B15" s="20" t="s">
        <v>169</v>
      </c>
      <c r="C15" s="26" t="n">
        <v>-6679076</v>
      </c>
      <c r="D15" s="26" t="n">
        <f aca="false">'The rolling hedge'!$K$8</f>
        <v>-6679076.39019436</v>
      </c>
      <c r="E15" s="35" t="n">
        <f aca="false">D15-C15</f>
        <v>-0.390194356441498</v>
      </c>
      <c r="F15" s="36" t="str">
        <f aca="false">IF(ABS(E15)&lt;=0.5,"PASS","FAIL")</f>
        <v>PASS</v>
      </c>
    </row>
    <row r="16" customFormat="false" ht="15" hidden="false" customHeight="false" outlineLevel="0" collapsed="false">
      <c r="A16" s="7" t="s">
        <v>163</v>
      </c>
      <c r="B16" s="7" t="s">
        <v>170</v>
      </c>
      <c r="C16" s="24" t="n">
        <v>-6271576</v>
      </c>
      <c r="D16" s="24" t="n">
        <f aca="false">'The rolling hedge'!$K$9</f>
        <v>-6271575.99180357</v>
      </c>
      <c r="E16" s="29" t="n">
        <f aca="false">D16-C16</f>
        <v>0.00819642841815949</v>
      </c>
      <c r="F16" s="34" t="str">
        <f aca="false">IF(ABS(E16)&lt;=0.5,"PASS","FAIL")</f>
        <v>PASS</v>
      </c>
    </row>
    <row r="17" customFormat="false" ht="15" hidden="false" customHeight="false" outlineLevel="0" collapsed="false">
      <c r="A17" s="20" t="s">
        <v>163</v>
      </c>
      <c r="B17" s="20" t="s">
        <v>171</v>
      </c>
      <c r="C17" s="26" t="n">
        <v>2174696</v>
      </c>
      <c r="D17" s="26" t="n">
        <f aca="false">'The rolling hedge'!$K$10</f>
        <v>2174696.31322579</v>
      </c>
      <c r="E17" s="35" t="n">
        <f aca="false">D17-C17</f>
        <v>0.313225790858269</v>
      </c>
      <c r="F17" s="36" t="str">
        <f aca="false">IF(ABS(E17)&lt;=0.5,"PASS","FAIL")</f>
        <v>PASS</v>
      </c>
    </row>
    <row r="18" customFormat="false" ht="15" hidden="false" customHeight="false" outlineLevel="0" collapsed="false">
      <c r="A18" s="7" t="s">
        <v>163</v>
      </c>
      <c r="B18" s="7" t="s">
        <v>172</v>
      </c>
      <c r="C18" s="24" t="n">
        <v>2925434</v>
      </c>
      <c r="D18" s="24" t="n">
        <f aca="false">'The rolling hedge'!$K$11</f>
        <v>2925434.38132255</v>
      </c>
      <c r="E18" s="29" t="n">
        <f aca="false">D18-C18</f>
        <v>0.381322547793388</v>
      </c>
      <c r="F18" s="34" t="str">
        <f aca="false">IF(ABS(E18)&lt;=0.5,"PASS","FAIL")</f>
        <v>PASS</v>
      </c>
    </row>
    <row r="19" customFormat="false" ht="15" hidden="false" customHeight="false" outlineLevel="0" collapsed="false">
      <c r="A19" s="20" t="s">
        <v>163</v>
      </c>
      <c r="B19" s="20" t="s">
        <v>173</v>
      </c>
      <c r="C19" s="26" t="n">
        <v>2248845</v>
      </c>
      <c r="D19" s="26" t="n">
        <f aca="false">'The rolling hedge'!$K$12</f>
        <v>2248845.48118605</v>
      </c>
      <c r="E19" s="35" t="n">
        <f aca="false">D19-C19</f>
        <v>0.481186047196388</v>
      </c>
      <c r="F19" s="36" t="str">
        <f aca="false">IF(ABS(E19)&lt;=0.5,"PASS","FAIL")</f>
        <v>PASS</v>
      </c>
    </row>
    <row r="20" customFormat="false" ht="15" hidden="false" customHeight="false" outlineLevel="0" collapsed="false">
      <c r="A20" s="7" t="s">
        <v>163</v>
      </c>
      <c r="B20" s="7" t="s">
        <v>174</v>
      </c>
      <c r="C20" s="24" t="n">
        <v>-5601676</v>
      </c>
      <c r="D20" s="24" t="n">
        <f aca="false">'The rolling hedge'!$K$13</f>
        <v>-5601676.20626354</v>
      </c>
      <c r="E20" s="29" t="n">
        <f aca="false">D20-C20</f>
        <v>-0.206263542175293</v>
      </c>
      <c r="F20" s="34" t="str">
        <f aca="false">IF(ABS(E20)&lt;=0.5,"PASS","FAIL")</f>
        <v>PASS</v>
      </c>
    </row>
    <row r="21" customFormat="false" ht="15" hidden="false" customHeight="false" outlineLevel="0" collapsed="false">
      <c r="A21" s="20" t="s">
        <v>175</v>
      </c>
      <c r="B21" s="20" t="s">
        <v>132</v>
      </c>
      <c r="C21" s="26" t="n">
        <v>752744857</v>
      </c>
      <c r="D21" s="26" t="n">
        <f aca="false">'Three policies'!$E$13</f>
        <v>752744856.869188</v>
      </c>
      <c r="E21" s="35" t="n">
        <f aca="false">D21-C21</f>
        <v>-0.13081169128418</v>
      </c>
      <c r="F21" s="36" t="str">
        <f aca="false">IF(ABS(E21)&lt;=0.5,"PASS","FAIL")</f>
        <v>PASS</v>
      </c>
    </row>
    <row r="22" customFormat="false" ht="15" hidden="false" customHeight="false" outlineLevel="0" collapsed="false">
      <c r="A22" s="7" t="s">
        <v>175</v>
      </c>
      <c r="B22" s="7" t="s">
        <v>133</v>
      </c>
      <c r="C22" s="24" t="n">
        <v>747143181</v>
      </c>
      <c r="D22" s="24" t="n">
        <f aca="false">'Three policies'!$F$13</f>
        <v>747143180.662925</v>
      </c>
      <c r="E22" s="29" t="n">
        <f aca="false">D22-C22</f>
        <v>-0.337075233459473</v>
      </c>
      <c r="F22" s="34" t="str">
        <f aca="false">IF(ABS(E22)&lt;=0.5,"PASS","FAIL")</f>
        <v>PASS</v>
      </c>
    </row>
    <row r="23" customFormat="false" ht="15" hidden="false" customHeight="false" outlineLevel="0" collapsed="false">
      <c r="A23" s="20" t="s">
        <v>175</v>
      </c>
      <c r="B23" s="20" t="s">
        <v>176</v>
      </c>
      <c r="C23" s="26" t="n">
        <v>711963860</v>
      </c>
      <c r="D23" s="26" t="n">
        <f aca="false">'Three policies'!$G$13</f>
        <v>711963859.678687</v>
      </c>
      <c r="E23" s="35" t="n">
        <f aca="false">D23-C23</f>
        <v>-0.321312785148621</v>
      </c>
      <c r="F23" s="36" t="str">
        <f aca="false">IF(ABS(E23)&lt;=0.5,"PASS","FAIL")</f>
        <v>PASS</v>
      </c>
    </row>
    <row r="24" customFormat="false" ht="15" hidden="false" customHeight="false" outlineLevel="0" collapsed="false">
      <c r="A24" s="7" t="s">
        <v>175</v>
      </c>
      <c r="B24" s="7" t="s">
        <v>177</v>
      </c>
      <c r="C24" s="24" t="n">
        <v>-5601676</v>
      </c>
      <c r="D24" s="24" t="n">
        <f aca="false">'Three policies'!$B$17</f>
        <v>-5601676.20626354</v>
      </c>
      <c r="E24" s="29" t="n">
        <f aca="false">D24-C24</f>
        <v>-0.206263542175293</v>
      </c>
      <c r="F24" s="34" t="str">
        <f aca="false">IF(ABS(E24)&lt;=0.5,"PASS","FAIL")</f>
        <v>PASS</v>
      </c>
    </row>
    <row r="25" customFormat="false" ht="15" hidden="false" customHeight="false" outlineLevel="0" collapsed="false">
      <c r="A25" s="20" t="s">
        <v>175</v>
      </c>
      <c r="B25" s="20" t="s">
        <v>178</v>
      </c>
      <c r="C25" s="26" t="n">
        <v>-40780997</v>
      </c>
      <c r="D25" s="26" t="n">
        <f aca="false">'Three policies'!$B$18</f>
        <v>-40780997.1905011</v>
      </c>
      <c r="E25" s="35" t="n">
        <f aca="false">D25-C25</f>
        <v>-0.190501093864441</v>
      </c>
      <c r="F25" s="36" t="str">
        <f aca="false">IF(ABS(E25)&lt;=0.5,"PASS","FAIL")</f>
        <v>PASS</v>
      </c>
    </row>
    <row r="26" customFormat="false" ht="15" hidden="false" customHeight="false" outlineLevel="0" collapsed="false">
      <c r="A26" s="7" t="s">
        <v>175</v>
      </c>
      <c r="B26" s="7" t="s">
        <v>125</v>
      </c>
      <c r="C26" s="24" t="n">
        <v>35179321</v>
      </c>
      <c r="D26" s="24" t="n">
        <f aca="false">'Three policies'!$B$19</f>
        <v>35179320.9842376</v>
      </c>
      <c r="E26" s="29" t="n">
        <f aca="false">D26-C26</f>
        <v>-0.0157624483108521</v>
      </c>
      <c r="F26" s="34" t="str">
        <f aca="false">IF(ABS(E26)&lt;=0.5,"PASS","FAIL")</f>
        <v>PASS</v>
      </c>
    </row>
    <row r="27" customFormat="false" ht="15" hidden="false" customHeight="false" outlineLevel="0" collapsed="false">
      <c r="A27" s="20" t="s">
        <v>179</v>
      </c>
      <c r="B27" s="20" t="s">
        <v>180</v>
      </c>
      <c r="C27" s="22" t="n">
        <v>0.962927</v>
      </c>
      <c r="D27" s="22" t="n">
        <f aca="false">INDEX(DFG,1)</f>
        <v>0.962927298988926</v>
      </c>
      <c r="E27" s="35" t="n">
        <f aca="false">D27-C27</f>
        <v>2.98988926394905E-007</v>
      </c>
      <c r="F27" s="36" t="str">
        <f aca="false">IF(ABS(E27)&lt;=0.0000005,"PASS","FAIL")</f>
        <v>PASS</v>
      </c>
    </row>
    <row r="28" customFormat="false" ht="15" hidden="false" customHeight="false" outlineLevel="0" collapsed="false">
      <c r="A28" s="7" t="s">
        <v>179</v>
      </c>
      <c r="B28" s="7" t="s">
        <v>181</v>
      </c>
      <c r="C28" s="18" t="n">
        <v>0.924866</v>
      </c>
      <c r="D28" s="18" t="n">
        <f aca="false">INDEX(DFG,2)</f>
        <v>0.924865833333565</v>
      </c>
      <c r="E28" s="29" t="n">
        <f aca="false">D28-C28</f>
        <v>-1.66666435208462E-007</v>
      </c>
      <c r="F28" s="34" t="str">
        <f aca="false">IF(ABS(E28)&lt;=0.0000005,"PASS","FAIL")</f>
        <v>PASS</v>
      </c>
    </row>
    <row r="29" customFormat="false" ht="15" hidden="false" customHeight="false" outlineLevel="0" collapsed="false">
      <c r="A29" s="20" t="s">
        <v>179</v>
      </c>
      <c r="B29" s="20" t="s">
        <v>182</v>
      </c>
      <c r="C29" s="22" t="n">
        <v>0.885731</v>
      </c>
      <c r="D29" s="22" t="n">
        <f aca="false">INDEX(DFG,3)</f>
        <v>0.8857308134348</v>
      </c>
      <c r="E29" s="35" t="n">
        <f aca="false">D29-C29</f>
        <v>-1.86565200288591E-007</v>
      </c>
      <c r="F29" s="36" t="str">
        <f aca="false">IF(ABS(E29)&lt;=0.0000005,"PASS","FAIL")</f>
        <v>PASS</v>
      </c>
    </row>
    <row r="30" customFormat="false" ht="15" hidden="false" customHeight="false" outlineLevel="0" collapsed="false">
      <c r="A30" s="7" t="s">
        <v>179</v>
      </c>
      <c r="B30" s="7" t="s">
        <v>183</v>
      </c>
      <c r="C30" s="18" t="n">
        <v>0.846163</v>
      </c>
      <c r="D30" s="18" t="n">
        <f aca="false">INDEX(DFG,4)</f>
        <v>0.846163292379199</v>
      </c>
      <c r="E30" s="29" t="n">
        <f aca="false">D30-C30</f>
        <v>2.923791991849E-007</v>
      </c>
      <c r="F30" s="34" t="str">
        <f aca="false">IF(ABS(E30)&lt;=0.0000005,"PASS","FAIL")</f>
        <v>PASS</v>
      </c>
    </row>
    <row r="31" customFormat="false" ht="15" hidden="false" customHeight="false" outlineLevel="0" collapsed="false">
      <c r="A31" s="20" t="s">
        <v>179</v>
      </c>
      <c r="B31" s="20" t="s">
        <v>184</v>
      </c>
      <c r="C31" s="22" t="n">
        <v>0.806997</v>
      </c>
      <c r="D31" s="22" t="n">
        <f aca="false">INDEX(DFG,5)</f>
        <v>0.806996585298245</v>
      </c>
      <c r="E31" s="35" t="n">
        <f aca="false">D31-C31</f>
        <v>-4.14701754603009E-007</v>
      </c>
      <c r="F31" s="36" t="str">
        <f aca="false">IF(ABS(E31)&lt;=0.0000005,"PASS","FAIL")</f>
        <v>PASS</v>
      </c>
    </row>
    <row r="32" customFormat="false" ht="15" hidden="false" customHeight="false" outlineLevel="0" collapsed="false">
      <c r="A32" s="7" t="s">
        <v>179</v>
      </c>
      <c r="B32" s="7" t="s">
        <v>185</v>
      </c>
      <c r="C32" s="19" t="n">
        <v>1.2644</v>
      </c>
      <c r="D32" s="19" t="n">
        <f aca="false">INDEX(FWDFX,1)</f>
        <v>1.26444390948483</v>
      </c>
      <c r="E32" s="29" t="n">
        <f aca="false">D32-C32</f>
        <v>4.39094848341259E-005</v>
      </c>
      <c r="F32" s="34" t="str">
        <f aca="false">IF(ABS(E32)&lt;=0.00005,"PASS","FAIL")</f>
        <v>PASS</v>
      </c>
    </row>
    <row r="33" customFormat="false" ht="15" hidden="false" customHeight="false" outlineLevel="0" collapsed="false">
      <c r="A33" s="20" t="s">
        <v>179</v>
      </c>
      <c r="B33" s="20" t="s">
        <v>186</v>
      </c>
      <c r="C33" s="23" t="n">
        <v>1.2775</v>
      </c>
      <c r="D33" s="23" t="n">
        <f aca="false">INDEX(FWDFX,2)</f>
        <v>1.27753930461605</v>
      </c>
      <c r="E33" s="35" t="n">
        <f aca="false">D33-C33</f>
        <v>3.93046160505062E-005</v>
      </c>
      <c r="F33" s="36" t="str">
        <f aca="false">IF(ABS(E33)&lt;=0.00005,"PASS","FAIL")</f>
        <v>PASS</v>
      </c>
    </row>
    <row r="34" customFormat="false" ht="15" hidden="false" customHeight="false" outlineLevel="0" collapsed="false">
      <c r="A34" s="7" t="s">
        <v>179</v>
      </c>
      <c r="B34" s="7" t="s">
        <v>187</v>
      </c>
      <c r="C34" s="19" t="n">
        <v>1.2896</v>
      </c>
      <c r="D34" s="19" t="n">
        <f aca="false">INDEX(FWDFX,3)</f>
        <v>1.28960610465125</v>
      </c>
      <c r="E34" s="29" t="n">
        <f aca="false">D34-C34</f>
        <v>6.1046512502827E-006</v>
      </c>
      <c r="F34" s="34" t="str">
        <f aca="false">IF(ABS(E34)&lt;=0.00005,"PASS","FAIL")</f>
        <v>PASS</v>
      </c>
    </row>
    <row r="35" customFormat="false" ht="15" hidden="false" customHeight="false" outlineLevel="0" collapsed="false">
      <c r="A35" s="20" t="s">
        <v>179</v>
      </c>
      <c r="B35" s="20" t="s">
        <v>188</v>
      </c>
      <c r="C35" s="23" t="n">
        <v>1.301</v>
      </c>
      <c r="D35" s="23" t="n">
        <f aca="false">INDEX(FWDFX,4)</f>
        <v>1.30099576904346</v>
      </c>
      <c r="E35" s="35" t="n">
        <f aca="false">D35-C35</f>
        <v>-4.23095654022987E-006</v>
      </c>
      <c r="F35" s="36" t="str">
        <f aca="false">IF(ABS(E35)&lt;=0.00005,"PASS","FAIL")</f>
        <v>PASS</v>
      </c>
    </row>
    <row r="36" customFormat="false" ht="15" hidden="false" customHeight="false" outlineLevel="0" collapsed="false">
      <c r="A36" s="7" t="s">
        <v>179</v>
      </c>
      <c r="B36" s="7" t="s">
        <v>189</v>
      </c>
      <c r="C36" s="19" t="n">
        <v>1.3121</v>
      </c>
      <c r="D36" s="19" t="n">
        <f aca="false">INDEX(FWDFX,5)</f>
        <v>1.31208532909276</v>
      </c>
      <c r="E36" s="29" t="n">
        <f aca="false">D36-C36</f>
        <v>-1.46709072352813E-005</v>
      </c>
      <c r="F36" s="34" t="str">
        <f aca="false">IF(ABS(E36)&lt;=0.00005,"PASS","FAIL")</f>
        <v>PASS</v>
      </c>
    </row>
    <row r="37" customFormat="false" ht="15" hidden="false" customHeight="false" outlineLevel="0" collapsed="false">
      <c r="A37" s="20" t="s">
        <v>179</v>
      </c>
      <c r="B37" s="20" t="s">
        <v>190</v>
      </c>
      <c r="C37" s="21" t="n">
        <v>0.044184</v>
      </c>
      <c r="D37" s="21" t="n">
        <f aca="false">INDEX(FWDIMP,3)</f>
        <v>0.0441838754000239</v>
      </c>
      <c r="E37" s="35" t="n">
        <f aca="false">D37-C37</f>
        <v>-1.24599976114581E-007</v>
      </c>
      <c r="F37" s="36" t="str">
        <f aca="false">IF(ABS(E37)&lt;=0.0000005,"PASS","FAIL")</f>
        <v>PASS</v>
      </c>
    </row>
    <row r="38" customFormat="false" ht="15" hidden="false" customHeight="false" outlineLevel="0" collapsed="false">
      <c r="A38" s="7" t="n">
        <v>5</v>
      </c>
      <c r="B38" s="7" t="s">
        <v>191</v>
      </c>
      <c r="C38" s="37" t="n">
        <v>15037594</v>
      </c>
      <c r="D38" s="37" t="n">
        <f aca="false">'Three policies'!D25</f>
        <v>15037593.9849624</v>
      </c>
      <c r="E38" s="29" t="n">
        <f aca="false">D38-C38</f>
        <v>-0.0150375962257385</v>
      </c>
      <c r="F38" s="34" t="str">
        <f aca="false">IF(ABS(E38)&lt;=0.5,"PASS","FAIL")</f>
        <v>PASS</v>
      </c>
    </row>
    <row r="39" customFormat="false" ht="15" hidden="false" customHeight="false" outlineLevel="0" collapsed="false">
      <c r="A39" s="20" t="n">
        <v>5</v>
      </c>
      <c r="B39" s="20" t="s">
        <v>192</v>
      </c>
      <c r="C39" s="38" t="n">
        <v>155366186</v>
      </c>
      <c r="D39" s="38" t="n">
        <f aca="false">'Three policies'!B26</f>
        <v>155366185.674928</v>
      </c>
      <c r="E39" s="35" t="n">
        <f aca="false">D39-C39</f>
        <v>-0.325072079896927</v>
      </c>
      <c r="F39" s="36" t="str">
        <f aca="false">IF(ABS(E39)&lt;=0.5,"PASS","FAIL")</f>
        <v>PASS</v>
      </c>
    </row>
    <row r="40" customFormat="false" ht="15" hidden="false" customHeight="false" outlineLevel="0" collapsed="false">
      <c r="A40" s="7" t="n">
        <v>5</v>
      </c>
      <c r="B40" s="7" t="s">
        <v>193</v>
      </c>
      <c r="C40" s="37" t="n">
        <v>10784758</v>
      </c>
      <c r="D40" s="37" t="n">
        <f aca="false">'Three policies'!D26</f>
        <v>10784757.8634416</v>
      </c>
      <c r="E40" s="29" t="n">
        <f aca="false">D40-C40</f>
        <v>-0.136558413505554</v>
      </c>
      <c r="F40" s="34" t="str">
        <f aca="false">IF(ABS(E40)&lt;=0.5,"PASS","FAIL")</f>
        <v>PASS</v>
      </c>
    </row>
    <row r="41" customFormat="false" ht="15" hidden="false" customHeight="false" outlineLevel="0" collapsed="false">
      <c r="A41" s="20" t="n">
        <v>5</v>
      </c>
      <c r="B41" s="20" t="s">
        <v>194</v>
      </c>
      <c r="C41" s="38" t="n">
        <v>145145580</v>
      </c>
      <c r="D41" s="38" t="n">
        <f aca="false">'Three policies'!B27</f>
        <v>145145579.793084</v>
      </c>
      <c r="E41" s="35" t="n">
        <f aca="false">D41-C41</f>
        <v>-0.206916511058807</v>
      </c>
      <c r="F41" s="36" t="str">
        <f aca="false">IF(ABS(E41)&lt;=0.5,"PASS","FAIL")</f>
        <v>PASS</v>
      </c>
    </row>
    <row r="42" customFormat="false" ht="15" hidden="false" customHeight="false" outlineLevel="0" collapsed="false">
      <c r="A42" s="7" t="n">
        <v>5</v>
      </c>
      <c r="B42" s="7" t="s">
        <v>195</v>
      </c>
      <c r="C42" s="37" t="n">
        <v>138603936</v>
      </c>
      <c r="D42" s="37" t="n">
        <f aca="false">'Three policies'!C27</f>
        <v>138603935.500512</v>
      </c>
      <c r="E42" s="29" t="n">
        <f aca="false">D42-C42</f>
        <v>-0.499488025903702</v>
      </c>
      <c r="F42" s="34" t="str">
        <f aca="false">IF(ABS(E42)&lt;=0.5,"PASS","FAIL")</f>
        <v>PASS</v>
      </c>
    </row>
    <row r="43" customFormat="false" ht="15" hidden="false" customHeight="false" outlineLevel="0" collapsed="false">
      <c r="A43" s="20" t="n">
        <v>5</v>
      </c>
      <c r="B43" s="20" t="s">
        <v>196</v>
      </c>
      <c r="C43" s="38" t="n">
        <v>6541644</v>
      </c>
      <c r="D43" s="38" t="n">
        <f aca="false">'Three policies'!D27</f>
        <v>6541644.29257152</v>
      </c>
      <c r="E43" s="35" t="n">
        <f aca="false">D43-C43</f>
        <v>0.292571514844894</v>
      </c>
      <c r="F43" s="36" t="str">
        <f aca="false">IF(ABS(E43)&lt;=0.5,"PASS","FAIL")</f>
        <v>PASS</v>
      </c>
    </row>
    <row r="44" customFormat="false" ht="15" hidden="false" customHeight="false" outlineLevel="0" collapsed="false">
      <c r="A44" s="7" t="n">
        <v>5</v>
      </c>
      <c r="B44" s="7" t="s">
        <v>197</v>
      </c>
      <c r="C44" s="37" t="n">
        <v>19290801</v>
      </c>
      <c r="D44" s="37" t="n">
        <f aca="false">'Three policies'!B28</f>
        <v>19290801.3415933</v>
      </c>
      <c r="E44" s="29" t="n">
        <f aca="false">D44-C44</f>
        <v>0.34159329533577</v>
      </c>
      <c r="F44" s="34" t="str">
        <f aca="false">IF(ABS(E44)&lt;=0.5,"PASS","FAIL")</f>
        <v>PASS</v>
      </c>
    </row>
    <row r="45" customFormat="false" ht="15" hidden="false" customHeight="false" outlineLevel="0" collapsed="false">
      <c r="A45" s="20" t="n">
        <v>5</v>
      </c>
      <c r="B45" s="20" t="s">
        <v>198</v>
      </c>
      <c r="C45" s="23" t="n">
        <v>22.8</v>
      </c>
      <c r="D45" s="23" t="n">
        <f aca="false">'Three policies'!B35</f>
        <v>22.8025194316298</v>
      </c>
      <c r="E45" s="35" t="n">
        <f aca="false">D45-C45</f>
        <v>0.00251943162978918</v>
      </c>
      <c r="F45" s="36" t="str">
        <f aca="false">IF(ABS(E45)&lt;=0.005,"PASS","FAIL")</f>
        <v>PASS</v>
      </c>
    </row>
    <row r="46" customFormat="false" ht="15" hidden="false" customHeight="false" outlineLevel="0" collapsed="false">
      <c r="A46" s="7" t="n">
        <v>5</v>
      </c>
      <c r="B46" s="7" t="s">
        <v>199</v>
      </c>
      <c r="C46" s="19" t="n">
        <v>80.21</v>
      </c>
      <c r="D46" s="19" t="n">
        <f aca="false">'Three policies'!B36</f>
        <v>80.2123792656182</v>
      </c>
      <c r="E46" s="29" t="n">
        <f aca="false">D46-C46</f>
        <v>0.00237926561817403</v>
      </c>
      <c r="F46" s="34" t="str">
        <f aca="false">IF(ABS(E46)&lt;=0.005,"PASS","FAIL")</f>
        <v>PASS</v>
      </c>
    </row>
    <row r="47" customFormat="false" ht="15" hidden="false" customHeight="false" outlineLevel="0" collapsed="false">
      <c r="A47" s="20" t="n">
        <v>5</v>
      </c>
      <c r="B47" s="20" t="s">
        <v>200</v>
      </c>
      <c r="C47" s="23" t="n">
        <v>0.796</v>
      </c>
      <c r="D47" s="23" t="n">
        <f aca="false">'Three policies'!B37</f>
        <v>0.795912239462388</v>
      </c>
      <c r="E47" s="35" t="n">
        <f aca="false">D47-C47</f>
        <v>-8.77605376119472E-005</v>
      </c>
      <c r="F47" s="36" t="str">
        <f aca="false">IF(ABS(E47)&lt;=0.0005,"PASS","FAIL")</f>
        <v>PASS</v>
      </c>
    </row>
    <row r="48" customFormat="false" ht="15" hidden="false" customHeight="false" outlineLevel="0" collapsed="false">
      <c r="A48" s="7" t="n">
        <v>5</v>
      </c>
      <c r="B48" s="7" t="s">
        <v>201</v>
      </c>
      <c r="C48" s="37" t="n">
        <v>76000</v>
      </c>
      <c r="D48" s="37" t="n">
        <f aca="false">'Three policies'!B38</f>
        <v>76407.4966003768</v>
      </c>
      <c r="E48" s="29" t="n">
        <f aca="false">D48-C48</f>
        <v>407.496600376806</v>
      </c>
      <c r="F48" s="34" t="str">
        <f aca="false">IF(ABS(E48)&lt;=500,"PASS","FAIL")</f>
        <v>PASS</v>
      </c>
    </row>
    <row r="49" customFormat="false" ht="15" hidden="false" customHeight="false" outlineLevel="0" collapsed="false">
      <c r="A49" s="20" t="n">
        <v>5</v>
      </c>
      <c r="B49" s="20" t="s">
        <v>202</v>
      </c>
      <c r="C49" s="23" t="n">
        <v>460</v>
      </c>
      <c r="D49" s="23" t="n">
        <f aca="false">'Three policies'!B39</f>
        <v>460.417139017535</v>
      </c>
      <c r="E49" s="35" t="n">
        <f aca="false">D49-C49</f>
        <v>0.417139017535419</v>
      </c>
      <c r="F49" s="36" t="str">
        <f aca="false">IF(ABS(E49)&lt;=1,"PASS","FAIL")</f>
        <v>PASS</v>
      </c>
    </row>
    <row r="51" customFormat="false" ht="15" hidden="false" customHeight="false" outlineLevel="0" collapsed="false">
      <c r="B51" s="27" t="s">
        <v>203</v>
      </c>
      <c r="C51" s="39" t="n">
        <f aca="false">COUNTIF(F8:F49,"PASS")</f>
        <v>42</v>
      </c>
    </row>
    <row r="52" customFormat="false" ht="15" hidden="false" customHeight="false" outlineLevel="0" collapsed="false">
      <c r="B52" s="27" t="s">
        <v>204</v>
      </c>
      <c r="C52" s="39" t="n">
        <f aca="false">COUNTIF(F8:F49,"FAIL")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2026-08-30T01:22:04Z</dcterms:created>
  <dc:creator>openpyxl</dc:creator>
  <dc:description/>
  <dc:language>en-US</dc:language>
  <cp:lastModifiedBy/>
  <dcterms:modified xsi:type="dcterms:W3CDTF">2026-09-24T02:12:53Z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