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Water" sheetId="3" state="visible" r:id="rId3"/>
    <sheet xmlns:r="http://schemas.openxmlformats.org/officeDocument/2006/relationships" name="Solar" sheetId="4" state="visible" r:id="rId4"/>
    <sheet xmlns:r="http://schemas.openxmlformats.org/officeDocument/2006/relationships" name="Schools" sheetId="5" state="visible" r:id="rId5"/>
    <sheet xmlns:r="http://schemas.openxmlformats.org/officeDocument/2006/relationships" name="Holdco and Returns" sheetId="6" state="visible" r:id="rId6"/>
    <sheet xmlns:r="http://schemas.openxmlformats.org/officeDocument/2006/relationships" name="Check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;[Red]-#,##0.0"/>
    <numFmt numFmtId="165" formatCode="0.0%"/>
    <numFmt numFmtId="166" formatCode="0.00&quot;x&quot;"/>
    <numFmt numFmtId="167" formatCode="#,##0.00;[Red]-#,##0.00"/>
    <numFmt numFmtId="168" formatCode="0.0&quot;x&quot;"/>
    <numFmt numFmtId="169" formatCode="0.0000"/>
    <numFmt numFmtId="170" formatCode="0.00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1F4FB4"/>
      <sz val="10"/>
    </font>
  </fonts>
  <fills count="6">
    <fill>
      <patternFill/>
    </fill>
    <fill>
      <patternFill patternType="gray125"/>
    </fill>
    <fill>
      <patternFill patternType="solid">
        <fgColor rgb="001C2B3A"/>
      </patternFill>
    </fill>
    <fill>
      <patternFill patternType="solid">
        <fgColor rgb="003D5A73"/>
      </patternFill>
    </fill>
    <fill>
      <patternFill patternType="solid">
        <fgColor rgb="00EEF3FB"/>
      </patternFill>
    </fill>
    <fill>
      <patternFill patternType="solid">
        <fgColor rgb="00F1E6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0" pivotButton="0" quotePrefix="0" xfId="0"/>
    <xf numFmtId="164" fontId="5" fillId="4" borderId="0" pivotButton="0" quotePrefix="0" xfId="0"/>
    <xf numFmtId="10" fontId="5" fillId="4" borderId="0" pivotButton="0" quotePrefix="0" xfId="0"/>
    <xf numFmtId="165" fontId="5" fillId="4" borderId="0" pivotButton="0" quotePrefix="0" xfId="0"/>
    <xf numFmtId="166" fontId="5" fillId="4" borderId="0" pivotButton="0" quotePrefix="0" xfId="0"/>
    <xf numFmtId="1" fontId="5" fillId="4" borderId="0" pivotButton="0" quotePrefix="0" xfId="0"/>
    <xf numFmtId="167" fontId="5" fillId="4" borderId="0" pivotButton="0" quotePrefix="0" xfId="0"/>
    <xf numFmtId="168" fontId="5" fillId="4" borderId="0" pivotButton="0" quotePrefix="0" xfId="0"/>
    <xf numFmtId="169" fontId="2" fillId="0" borderId="0" pivotButton="0" quotePrefix="0" xfId="0"/>
    <xf numFmtId="164" fontId="2" fillId="0" borderId="0" pivotButton="0" quotePrefix="0" xfId="0"/>
    <xf numFmtId="164" fontId="4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" fontId="2" fillId="0" borderId="0" pivotButton="0" quotePrefix="0" xfId="0"/>
    <xf numFmtId="167" fontId="2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64" fontId="4" fillId="5" borderId="0" pivotButton="0" quotePrefix="0" xfId="0"/>
    <xf numFmtId="165" fontId="4" fillId="0" borderId="0" pivotButton="0" quotePrefix="0" xfId="0"/>
    <xf numFmtId="170" fontId="2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8" customWidth="1" min="2" max="2"/>
  </cols>
  <sheetData>
    <row r="1" ht="10" customHeight="1"/>
    <row r="2">
      <c r="B2" s="1" t="inlineStr">
        <is>
          <t>The Infrastructure Asset Manager: companion workbook</t>
        </is>
      </c>
    </row>
    <row r="4">
      <c r="B4" s="2" t="inlineStr">
        <is>
          <t>This workbook rebuilds the Aldmere case of The Infrastructure Asset Manager (Julian R. Sterling, 2026) with live formulas.</t>
        </is>
      </c>
    </row>
    <row r="5">
      <c r="B5" s="2" t="inlineStr">
        <is>
          <t>Blue cells on a light blue background are inputs. Everything else is a formula. Amounts in US$ million unless stated; annual flows at year end.</t>
        </is>
      </c>
    </row>
    <row r="6">
      <c r="B6" s="2" t="inlineStr">
        <is>
          <t>Inputs: every assumption of the case (regulation, operations, debt, refinancing, valuation, exit).</t>
        </is>
      </c>
    </row>
    <row r="7">
      <c r="B7" s="2" t="inlineStr">
        <is>
          <t>Water (Chapters 8 and 10): RAB roll-forward, allowed revenue, opex sharing, EBITDA, debt held at target gearing, cash distributed.</t>
        </is>
      </c>
    </row>
    <row r="8">
      <c r="B8" s="2" t="inlineStr">
        <is>
          <t>Solar (Chapters 9 and 11): output, PPA revenue, the 2026 outage and the 2027 insurance payment, debt service, DSCR, lock-up and release.</t>
        </is>
      </c>
    </row>
    <row r="9">
      <c r="B9" s="2" t="inlineStr">
        <is>
          <t>Schools (Chapters 7 and 9): unitary charge, deductions, debt service, DSCR and distributions to the end of the concession in 2044.</t>
        </is>
      </c>
    </row>
    <row r="10">
      <c r="B10" s="2" t="inlineStr">
        <is>
          <t>Holdco and Returns (Chapters 3, 11, 12, 13 and 15): entry value, holding company interest and cover, the 2026 refinancing, cash to Fund III, quarterly NAV convention, exit, multiple and IRR.</t>
        </is>
      </c>
    </row>
    <row r="11">
      <c r="B11" s="2" t="inlineStr">
        <is>
          <t>Checks: the figures printed in the book beside the formulas that produce them. ALL CHECKS OK on the default inputs.</t>
        </is>
      </c>
    </row>
    <row r="12">
      <c r="B12" s="2" t="inlineStr">
        <is>
          <t>Everything in the case is fictional and illustrative; the water regulation is a teaching simplification. Nothing here is investment, legal, tax or accounting advice. No macro, no circular reference, no external link.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7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4" customWidth="1" min="3" max="3"/>
    <col width="50" customWidth="1" min="4" max="4"/>
  </cols>
  <sheetData>
    <row r="1" ht="10" customHeight="1"/>
    <row r="2">
      <c r="B2" s="1" t="inlineStr">
        <is>
          <t>Inputs (blue cells)</t>
        </is>
      </c>
      <c r="C2" s="3" t="n"/>
      <c r="D2" s="3" t="n"/>
    </row>
    <row r="4">
      <c r="B4" s="4" t="inlineStr">
        <is>
          <t>Assumption</t>
        </is>
      </c>
      <c r="C4" s="4" t="inlineStr">
        <is>
          <t>Value</t>
        </is>
      </c>
      <c r="D4" s="4" t="inlineStr">
        <is>
          <t>Note</t>
        </is>
      </c>
    </row>
    <row r="5">
      <c r="B5" s="5" t="inlineStr">
        <is>
          <t>Water</t>
        </is>
      </c>
    </row>
    <row r="6">
      <c r="B6" s="2" t="inlineStr">
        <is>
          <t>Opening RAB at entry ($m)</t>
        </is>
      </c>
      <c r="C6" s="6" t="n">
        <v>900</v>
      </c>
    </row>
    <row r="7">
      <c r="B7" s="2" t="inlineStr">
        <is>
          <t>Inflation (RAB indexation, allowance indexation)</t>
        </is>
      </c>
      <c r="C7" s="7" t="n">
        <v>0.025</v>
      </c>
    </row>
    <row r="8">
      <c r="B8" s="2" t="inlineStr">
        <is>
          <t>Allowed real return on average RAB</t>
        </is>
      </c>
      <c r="C8" s="7" t="n">
        <v>0.034</v>
      </c>
    </row>
    <row r="9">
      <c r="B9" s="2" t="inlineStr">
        <is>
          <t>RAB run-off (regulatory depreciation), share of opening RAB</t>
        </is>
      </c>
      <c r="C9" s="7" t="n">
        <v>0.03</v>
      </c>
    </row>
    <row r="10">
      <c r="B10" s="2" t="inlineStr">
        <is>
          <t>Opex allowance 2025 ($m, indexed)</t>
        </is>
      </c>
      <c r="C10" s="6" t="n">
        <v>60</v>
      </c>
    </row>
    <row r="11">
      <c r="B11" s="2" t="inlineStr">
        <is>
          <t>Actual opex at entry, 2025 prices ($m)</t>
        </is>
      </c>
      <c r="C11" s="6" t="n">
        <v>64</v>
      </c>
    </row>
    <row r="12">
      <c r="B12" s="2" t="inlineStr">
        <is>
          <t>Actual opex 2025 ($m)</t>
        </is>
      </c>
      <c r="C12" s="6" t="n">
        <v>63.4</v>
      </c>
    </row>
    <row r="13">
      <c r="B13" s="2" t="inlineStr">
        <is>
          <t>Opex budget 2025 ($m)</t>
        </is>
      </c>
      <c r="C13" s="6" t="n">
        <v>62.5</v>
      </c>
    </row>
    <row r="14">
      <c r="B14" s="2" t="inlineStr">
        <is>
          <t>Customers' share of opex out- or underperformance</t>
        </is>
      </c>
      <c r="C14" s="8" t="n">
        <v>0.5</v>
      </c>
    </row>
    <row r="15">
      <c r="B15" s="2" t="inlineStr">
        <is>
          <t>Regulated capex 2025 plan level ($m, indexed from 2026)</t>
        </is>
      </c>
      <c r="C15" s="6" t="n">
        <v>60</v>
      </c>
    </row>
    <row r="16">
      <c r="B16" s="2" t="inlineStr">
        <is>
          <t>Regulated capex actual 2025 ($m)</t>
        </is>
      </c>
      <c r="C16" s="6" t="n">
        <v>55</v>
      </c>
    </row>
    <row r="17">
      <c r="B17" s="2" t="inlineStr">
        <is>
          <t>Regulated capex budget 2025 ($m)</t>
        </is>
      </c>
      <c r="C17" s="6" t="n">
        <v>62</v>
      </c>
    </row>
    <row r="18">
      <c r="B18" s="2" t="inlineStr">
        <is>
          <t>Target gearing (net debt / RAB)</t>
        </is>
      </c>
      <c r="C18" s="8" t="n">
        <v>0.65</v>
      </c>
    </row>
    <row r="19">
      <c r="B19" s="2" t="inlineStr">
        <is>
          <t>Gearing covenant (maximum)</t>
        </is>
      </c>
      <c r="C19" s="8" t="n">
        <v>0.75</v>
      </c>
    </row>
    <row r="20">
      <c r="B20" s="2" t="inlineStr">
        <is>
          <t>Water debt interest rate</t>
        </is>
      </c>
      <c r="C20" s="7" t="n">
        <v>0.045</v>
      </c>
    </row>
    <row r="21">
      <c r="B21" s="2" t="inlineStr">
        <is>
          <t>Illustrative tax charge on (EBITDA less depreciation less interest)</t>
        </is>
      </c>
      <c r="C21" s="8" t="n">
        <v>0.25</v>
      </c>
    </row>
    <row r="22">
      <c r="B22" s="2" t="inlineStr">
        <is>
          <t>Entry premium on RAB (also used for the quarterly NAV)</t>
        </is>
      </c>
      <c r="C22" s="9" t="n">
        <v>1.08</v>
      </c>
    </row>
    <row r="23">
      <c r="B23" s="2" t="inlineStr">
        <is>
          <t>Exit premium on RAB (assumption)</t>
        </is>
      </c>
      <c r="C23" s="9" t="n">
        <v>1.2</v>
      </c>
    </row>
    <row r="24">
      <c r="B24" s="5" t="inlineStr">
        <is>
          <t>Solar</t>
        </is>
      </c>
    </row>
    <row r="25">
      <c r="B25" s="2" t="inlineStr">
        <is>
          <t>Capacity (MW)</t>
        </is>
      </c>
      <c r="C25" s="6" t="n">
        <v>250</v>
      </c>
    </row>
    <row r="26">
      <c r="B26" s="2" t="inlineStr">
        <is>
          <t>Net capacity factor</t>
        </is>
      </c>
      <c r="C26" s="8" t="n">
        <v>0.22</v>
      </c>
    </row>
    <row r="27">
      <c r="B27" s="2" t="inlineStr">
        <is>
          <t>Annual degradation</t>
        </is>
      </c>
      <c r="C27" s="7" t="n">
        <v>0.005</v>
      </c>
    </row>
    <row r="28">
      <c r="B28" s="2" t="inlineStr">
        <is>
          <t>Year of the substation failure</t>
        </is>
      </c>
      <c r="C28" s="10" t="n">
        <v>2026</v>
      </c>
    </row>
    <row r="29">
      <c r="B29" s="2" t="inlineStr">
        <is>
          <t>Output lost in that year</t>
        </is>
      </c>
      <c r="C29" s="8" t="n">
        <v>0.15</v>
      </c>
    </row>
    <row r="30">
      <c r="B30" s="2" t="inlineStr">
        <is>
          <t>Year the insurance payment is received</t>
        </is>
      </c>
      <c r="C30" s="10" t="n">
        <v>2027</v>
      </c>
    </row>
    <row r="31">
      <c r="B31" s="2" t="inlineStr">
        <is>
          <t>Business interruption insurance payment ($m)</t>
        </is>
      </c>
      <c r="C31" s="6" t="n">
        <v>2</v>
      </c>
    </row>
    <row r="32">
      <c r="B32" s="2" t="inlineStr">
        <is>
          <t>PPA price 2025 ($ per MWh)</t>
        </is>
      </c>
      <c r="C32" s="11" t="n">
        <v>55</v>
      </c>
    </row>
    <row r="33">
      <c r="B33" s="2" t="inlineStr">
        <is>
          <t>PPA escalation</t>
        </is>
      </c>
      <c r="C33" s="7" t="n">
        <v>0.02</v>
      </c>
    </row>
    <row r="34">
      <c r="B34" s="2" t="inlineStr">
        <is>
          <t>Solar opex 2025 ($m)</t>
        </is>
      </c>
      <c r="C34" s="6" t="n">
        <v>6</v>
      </c>
    </row>
    <row r="35">
      <c r="B35" s="2" t="inlineStr">
        <is>
          <t>Solar opex escalation</t>
        </is>
      </c>
      <c r="C35" s="7" t="n">
        <v>0.025</v>
      </c>
    </row>
    <row r="36">
      <c r="B36" s="2" t="inlineStr">
        <is>
          <t>Solar project debt at entry ($m)</t>
        </is>
      </c>
      <c r="C36" s="6" t="n">
        <v>140</v>
      </c>
    </row>
    <row r="37">
      <c r="B37" s="2" t="inlineStr">
        <is>
          <t>Solar debt rate</t>
        </is>
      </c>
      <c r="C37" s="7" t="n">
        <v>0.055</v>
      </c>
    </row>
    <row r="38">
      <c r="B38" s="2" t="inlineStr">
        <is>
          <t>Solar debt tenor (years, level annuity)</t>
        </is>
      </c>
      <c r="C38" s="10" t="n">
        <v>15</v>
      </c>
    </row>
    <row r="39">
      <c r="B39" s="2" t="inlineStr">
        <is>
          <t>Solar tax depreciation a year ($m)</t>
        </is>
      </c>
      <c r="C39" s="11" t="n">
        <v>8.6</v>
      </c>
    </row>
    <row r="40">
      <c r="B40" s="2" t="inlineStr">
        <is>
          <t>Distribution lock-up DSCR</t>
        </is>
      </c>
      <c r="C40" s="9" t="n">
        <v>1.2</v>
      </c>
    </row>
    <row r="41">
      <c r="B41" s="2" t="inlineStr">
        <is>
          <t>Event of default DSCR</t>
        </is>
      </c>
      <c r="C41" s="9" t="n">
        <v>1.05</v>
      </c>
    </row>
    <row r="42">
      <c r="B42" s="2" t="inlineStr">
        <is>
          <t>Solar enterprise value at entry ($m)</t>
        </is>
      </c>
      <c r="C42" s="6" t="n">
        <v>215</v>
      </c>
    </row>
    <row r="43">
      <c r="B43" s="2" t="inlineStr">
        <is>
          <t>Solar EBITDA multiple at entry and in the NAV</t>
        </is>
      </c>
      <c r="C43" s="12" t="n">
        <v>10.5</v>
      </c>
    </row>
    <row r="44">
      <c r="B44" s="2" t="inlineStr">
        <is>
          <t>Solar EBITDA multiple at exit (assumption)</t>
        </is>
      </c>
      <c r="C44" s="12" t="n">
        <v>10</v>
      </c>
    </row>
    <row r="45">
      <c r="B45" s="5" t="inlineStr">
        <is>
          <t>Schools</t>
        </is>
      </c>
    </row>
    <row r="46">
      <c r="B46" s="2" t="inlineStr">
        <is>
          <t>Unitary charge 2025 ($m)</t>
        </is>
      </c>
      <c r="C46" s="6" t="n">
        <v>32</v>
      </c>
    </row>
    <row r="47">
      <c r="B47" s="2" t="inlineStr">
        <is>
          <t>Unitary charge and cost indexation</t>
        </is>
      </c>
      <c r="C47" s="7" t="n">
        <v>0.025</v>
      </c>
    </row>
    <row r="48">
      <c r="B48" s="2" t="inlineStr">
        <is>
          <t>Deductions 2025 ($m)</t>
        </is>
      </c>
      <c r="C48" s="11" t="n">
        <v>0.4</v>
      </c>
    </row>
    <row r="49">
      <c r="B49" s="2" t="inlineStr">
        <is>
          <t>Expected deductions a year from 2026 ($m, 2025 prices)</t>
        </is>
      </c>
      <c r="C49" s="11" t="n">
        <v>0.1</v>
      </c>
    </row>
    <row r="50">
      <c r="B50" s="2" t="inlineStr">
        <is>
          <t>Operating, maintenance and lifecycle costs 2025 ($m)</t>
        </is>
      </c>
      <c r="C50" s="6" t="n">
        <v>12</v>
      </c>
    </row>
    <row r="51">
      <c r="B51" s="2" t="inlineStr">
        <is>
          <t>Senior debt at entry ($m)</t>
        </is>
      </c>
      <c r="C51" s="6" t="n">
        <v>150</v>
      </c>
    </row>
    <row r="52">
      <c r="B52" s="2" t="inlineStr">
        <is>
          <t>Senior debt rate (20-year level annuity)</t>
        </is>
      </c>
      <c r="C52" s="7" t="n">
        <v>0.05</v>
      </c>
    </row>
    <row r="53">
      <c r="B53" s="2" t="inlineStr">
        <is>
          <t>Schools tax depreciation a year ($m)</t>
        </is>
      </c>
      <c r="C53" s="11" t="n">
        <v>11.5</v>
      </c>
    </row>
    <row r="54">
      <c r="B54" s="2" t="inlineStr">
        <is>
          <t>Discount rate for the Schools equity cash flows</t>
        </is>
      </c>
      <c r="C54" s="8" t="n">
        <v>0.08</v>
      </c>
    </row>
    <row r="55">
      <c r="B55" s="5" t="inlineStr">
        <is>
          <t>Holding company and fund</t>
        </is>
      </c>
    </row>
    <row r="56">
      <c r="B56" s="2" t="inlineStr">
        <is>
          <t>Holding company loan at entry ($m)</t>
        </is>
      </c>
      <c r="C56" s="6" t="n">
        <v>150</v>
      </c>
    </row>
    <row r="57">
      <c r="B57" s="2" t="inlineStr">
        <is>
          <t>Rate of the entry loan</t>
        </is>
      </c>
      <c r="C57" s="7" t="n">
        <v>0.075</v>
      </c>
    </row>
    <row r="58">
      <c r="B58" s="2" t="inlineStr">
        <is>
          <t>Refinancing year (completed mid-year)</t>
        </is>
      </c>
      <c r="C58" s="10" t="n">
        <v>2026</v>
      </c>
    </row>
    <row r="59">
      <c r="B59" s="2" t="inlineStr">
        <is>
          <t>New holding company loan ($m)</t>
        </is>
      </c>
      <c r="C59" s="6" t="n">
        <v>250</v>
      </c>
    </row>
    <row r="60">
      <c r="B60" s="2" t="inlineStr">
        <is>
          <t>Rate of the new loan</t>
        </is>
      </c>
      <c r="C60" s="7" t="n">
        <v>0.0625</v>
      </c>
    </row>
    <row r="61">
      <c r="B61" s="2" t="inlineStr">
        <is>
          <t>Refinancing fees and costs ($m)</t>
        </is>
      </c>
      <c r="C61" s="6" t="n">
        <v>4</v>
      </c>
    </row>
    <row r="62">
      <c r="B62" s="2" t="inlineStr">
        <is>
          <t>Holding company running costs a year ($m)</t>
        </is>
      </c>
      <c r="C62" s="6" t="n">
        <v>3</v>
      </c>
    </row>
    <row r="63">
      <c r="B63" s="2" t="inlineStr">
        <is>
          <t>Holding company interest cover covenant (minimum)</t>
        </is>
      </c>
      <c r="C63" s="9" t="n">
        <v>1.1</v>
      </c>
    </row>
    <row r="64">
      <c r="B64" s="2" t="inlineStr">
        <is>
          <t>Transaction costs at entry ($m)</t>
        </is>
      </c>
      <c r="C64" s="6" t="n">
        <v>25</v>
      </c>
    </row>
    <row r="65">
      <c r="B65" s="2" t="inlineStr">
        <is>
          <t>Sale costs at exit, share of enterprise value</t>
        </is>
      </c>
      <c r="C65" s="7" t="n">
        <v>0.015</v>
      </c>
    </row>
    <row r="66">
      <c r="B66" s="2" t="inlineStr">
        <is>
          <t>Fund III commitments ($m)</t>
        </is>
      </c>
      <c r="C66" s="6" t="n">
        <v>3000</v>
      </c>
    </row>
    <row r="68">
      <c r="B68" s="5" t="inlineStr">
        <is>
          <t>Opex savings program, Aldmere Water ($m, 2025 prices)</t>
        </is>
      </c>
    </row>
    <row r="69">
      <c r="B69" s="2" t="inlineStr">
        <is>
          <t>Savings target 2025</t>
        </is>
      </c>
      <c r="C69" s="6" t="n">
        <v>0</v>
      </c>
    </row>
    <row r="70">
      <c r="B70" s="2" t="inlineStr">
        <is>
          <t>Savings target 2026</t>
        </is>
      </c>
      <c r="C70" s="6" t="n">
        <v>4</v>
      </c>
    </row>
    <row r="71">
      <c r="B71" s="2" t="inlineStr">
        <is>
          <t>Savings target 2027</t>
        </is>
      </c>
      <c r="C71" s="6" t="n">
        <v>7</v>
      </c>
    </row>
    <row r="72">
      <c r="B72" s="2" t="inlineStr">
        <is>
          <t>Savings target 2028</t>
        </is>
      </c>
      <c r="C72" s="6" t="n">
        <v>8</v>
      </c>
    </row>
    <row r="73">
      <c r="B73" s="2" t="inlineStr">
        <is>
          <t>Savings target 2029</t>
        </is>
      </c>
      <c r="C73" s="6" t="n">
        <v>8</v>
      </c>
    </row>
    <row r="74">
      <c r="B74" s="2" t="inlineStr">
        <is>
          <t>Savings target 2030</t>
        </is>
      </c>
      <c r="C74" s="6" t="n">
        <v>8</v>
      </c>
    </row>
    <row r="75">
      <c r="B75" s="2" t="inlineStr">
        <is>
          <t>Savings target 2031</t>
        </is>
      </c>
      <c r="C75" s="6" t="n">
        <v>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10" customHeight="1"/>
    <row r="2">
      <c r="B2" s="1" t="inlineStr">
        <is>
          <t>Aldmere Water: RAB, revenue, EBITDA, debt (Chapters 8 and 10)</t>
        </is>
      </c>
      <c r="C2" s="3" t="n"/>
      <c r="D2" s="3" t="n"/>
      <c r="E2" s="3" t="n"/>
      <c r="F2" s="3" t="n"/>
      <c r="G2" s="3" t="n"/>
      <c r="H2" s="3" t="n"/>
      <c r="I2" s="3" t="n"/>
    </row>
    <row r="4">
      <c r="B4" s="4" t="inlineStr">
        <is>
          <t>$ million</t>
        </is>
      </c>
      <c r="C4" s="4" t="inlineStr">
        <is>
          <t>2025</t>
        </is>
      </c>
      <c r="D4" s="4" t="inlineStr">
        <is>
          <t>2026</t>
        </is>
      </c>
      <c r="E4" s="4" t="inlineStr">
        <is>
          <t>2027</t>
        </is>
      </c>
      <c r="F4" s="4" t="inlineStr">
        <is>
          <t>2028</t>
        </is>
      </c>
      <c r="G4" s="4" t="inlineStr">
        <is>
          <t>2029</t>
        </is>
      </c>
      <c r="H4" s="4" t="inlineStr">
        <is>
          <t>2030</t>
        </is>
      </c>
      <c r="I4" s="4" t="inlineStr">
        <is>
          <t>2031</t>
        </is>
      </c>
    </row>
    <row r="5">
      <c r="B5" s="2" t="inlineStr">
        <is>
          <t>Index factor</t>
        </is>
      </c>
      <c r="C5" s="13">
        <f>(1+Inputs!$C$7)^0</f>
        <v/>
      </c>
      <c r="D5" s="13">
        <f>(1+Inputs!$C$7)^1</f>
        <v/>
      </c>
      <c r="E5" s="13">
        <f>(1+Inputs!$C$7)^2</f>
        <v/>
      </c>
      <c r="F5" s="13">
        <f>(1+Inputs!$C$7)^3</f>
        <v/>
      </c>
      <c r="G5" s="13">
        <f>(1+Inputs!$C$7)^4</f>
        <v/>
      </c>
      <c r="H5" s="13">
        <f>(1+Inputs!$C$7)^5</f>
        <v/>
      </c>
      <c r="I5" s="13">
        <f>(1+Inputs!$C$7)^6</f>
        <v/>
      </c>
    </row>
    <row r="6">
      <c r="B6" s="2" t="inlineStr">
        <is>
          <t>Opening RAB</t>
        </is>
      </c>
      <c r="C6" s="14">
        <f>Inputs!$C$6</f>
        <v/>
      </c>
      <c r="D6" s="14">
        <f>C10</f>
        <v/>
      </c>
      <c r="E6" s="14">
        <f>D10</f>
        <v/>
      </c>
      <c r="F6" s="14">
        <f>E10</f>
        <v/>
      </c>
      <c r="G6" s="14">
        <f>F10</f>
        <v/>
      </c>
      <c r="H6" s="14">
        <f>G10</f>
        <v/>
      </c>
      <c r="I6" s="14">
        <f>H10</f>
        <v/>
      </c>
    </row>
    <row r="7">
      <c r="B7" s="2" t="inlineStr">
        <is>
          <t>Indexation</t>
        </is>
      </c>
      <c r="C7" s="14">
        <f>C6*Inputs!$C$7</f>
        <v/>
      </c>
      <c r="D7" s="14">
        <f>D6*Inputs!$C$7</f>
        <v/>
      </c>
      <c r="E7" s="14">
        <f>E6*Inputs!$C$7</f>
        <v/>
      </c>
      <c r="F7" s="14">
        <f>F6*Inputs!$C$7</f>
        <v/>
      </c>
      <c r="G7" s="14">
        <f>G6*Inputs!$C$7</f>
        <v/>
      </c>
      <c r="H7" s="14">
        <f>H6*Inputs!$C$7</f>
        <v/>
      </c>
      <c r="I7" s="14">
        <f>I6*Inputs!$C$7</f>
        <v/>
      </c>
    </row>
    <row r="8">
      <c r="B8" s="2" t="inlineStr">
        <is>
          <t>Regulated capex</t>
        </is>
      </c>
      <c r="C8" s="14">
        <f>Inputs!$C$16</f>
        <v/>
      </c>
      <c r="D8" s="14">
        <f>Inputs!$C$15*D5</f>
        <v/>
      </c>
      <c r="E8" s="14">
        <f>Inputs!$C$15*E5</f>
        <v/>
      </c>
      <c r="F8" s="14">
        <f>Inputs!$C$15*F5</f>
        <v/>
      </c>
      <c r="G8" s="14">
        <f>Inputs!$C$15*G5</f>
        <v/>
      </c>
      <c r="H8" s="14">
        <f>Inputs!$C$15*H5</f>
        <v/>
      </c>
      <c r="I8" s="14">
        <f>Inputs!$C$15*I5</f>
        <v/>
      </c>
    </row>
    <row r="9">
      <c r="B9" s="2" t="inlineStr">
        <is>
          <t>Run-off</t>
        </is>
      </c>
      <c r="C9" s="14">
        <f>C6*Inputs!$C$9</f>
        <v/>
      </c>
      <c r="D9" s="14">
        <f>D6*Inputs!$C$9</f>
        <v/>
      </c>
      <c r="E9" s="14">
        <f>E6*Inputs!$C$9</f>
        <v/>
      </c>
      <c r="F9" s="14">
        <f>F6*Inputs!$C$9</f>
        <v/>
      </c>
      <c r="G9" s="14">
        <f>G6*Inputs!$C$9</f>
        <v/>
      </c>
      <c r="H9" s="14">
        <f>H6*Inputs!$C$9</f>
        <v/>
      </c>
      <c r="I9" s="14">
        <f>I6*Inputs!$C$9</f>
        <v/>
      </c>
    </row>
    <row r="10">
      <c r="B10" s="5" t="inlineStr">
        <is>
          <t>Closing RAB</t>
        </is>
      </c>
      <c r="C10" s="15">
        <f>C6+C7+C8-C9</f>
        <v/>
      </c>
      <c r="D10" s="15">
        <f>D6+D7+D8-D9</f>
        <v/>
      </c>
      <c r="E10" s="15">
        <f>E6+E7+E8-E9</f>
        <v/>
      </c>
      <c r="F10" s="15">
        <f>F6+F7+F8-F9</f>
        <v/>
      </c>
      <c r="G10" s="15">
        <f>G6+G7+G8-G9</f>
        <v/>
      </c>
      <c r="H10" s="15">
        <f>H6+H7+H8-H9</f>
        <v/>
      </c>
      <c r="I10" s="15">
        <f>I6+I7+I8-I9</f>
        <v/>
      </c>
    </row>
    <row r="11">
      <c r="B11" s="2" t="inlineStr">
        <is>
          <t>Average RAB</t>
        </is>
      </c>
      <c r="C11" s="14">
        <f>(C6+C10)/2</f>
        <v/>
      </c>
      <c r="D11" s="14">
        <f>(D6+D10)/2</f>
        <v/>
      </c>
      <c r="E11" s="14">
        <f>(E6+E10)/2</f>
        <v/>
      </c>
      <c r="F11" s="14">
        <f>(F6+F10)/2</f>
        <v/>
      </c>
      <c r="G11" s="14">
        <f>(G6+G10)/2</f>
        <v/>
      </c>
      <c r="H11" s="14">
        <f>(H6+H10)/2</f>
        <v/>
      </c>
      <c r="I11" s="14">
        <f>(I6+I10)/2</f>
        <v/>
      </c>
    </row>
    <row r="12">
      <c r="B12" s="2" t="inlineStr">
        <is>
          <t>Opex allowance</t>
        </is>
      </c>
      <c r="C12" s="14">
        <f>Inputs!$C$10*C5</f>
        <v/>
      </c>
      <c r="D12" s="14">
        <f>Inputs!$C$10*D5</f>
        <v/>
      </c>
      <c r="E12" s="14">
        <f>Inputs!$C$10*E5</f>
        <v/>
      </c>
      <c r="F12" s="14">
        <f>Inputs!$C$10*F5</f>
        <v/>
      </c>
      <c r="G12" s="14">
        <f>Inputs!$C$10*G5</f>
        <v/>
      </c>
      <c r="H12" s="14">
        <f>Inputs!$C$10*H5</f>
        <v/>
      </c>
      <c r="I12" s="14">
        <f>Inputs!$C$10*I5</f>
        <v/>
      </c>
    </row>
    <row r="13">
      <c r="B13" s="2" t="inlineStr">
        <is>
          <t>Allowed return</t>
        </is>
      </c>
      <c r="C13" s="14">
        <f>Inputs!$C$8*C11</f>
        <v/>
      </c>
      <c r="D13" s="14">
        <f>Inputs!$C$8*D11</f>
        <v/>
      </c>
      <c r="E13" s="14">
        <f>Inputs!$C$8*E11</f>
        <v/>
      </c>
      <c r="F13" s="14">
        <f>Inputs!$C$8*F11</f>
        <v/>
      </c>
      <c r="G13" s="14">
        <f>Inputs!$C$8*G11</f>
        <v/>
      </c>
      <c r="H13" s="14">
        <f>Inputs!$C$8*H11</f>
        <v/>
      </c>
      <c r="I13" s="14">
        <f>Inputs!$C$8*I11</f>
        <v/>
      </c>
    </row>
    <row r="14">
      <c r="B14" s="2" t="inlineStr">
        <is>
          <t>Actual opex</t>
        </is>
      </c>
      <c r="C14" s="14">
        <f>Inputs!$C$12</f>
        <v/>
      </c>
      <c r="D14" s="14">
        <f>(Inputs!$C$11-Inputs!$C$70)*D5</f>
        <v/>
      </c>
      <c r="E14" s="14">
        <f>(Inputs!$C$11-Inputs!$C$71)*E5</f>
        <v/>
      </c>
      <c r="F14" s="14">
        <f>(Inputs!$C$11-Inputs!$C$72)*F5</f>
        <v/>
      </c>
      <c r="G14" s="14">
        <f>(Inputs!$C$11-Inputs!$C$73)*G5</f>
        <v/>
      </c>
      <c r="H14" s="14">
        <f>(Inputs!$C$11-Inputs!$C$74)*H5</f>
        <v/>
      </c>
      <c r="I14" s="14">
        <f>(Inputs!$C$11-Inputs!$C$75)*I5</f>
        <v/>
      </c>
    </row>
    <row r="15">
      <c r="B15" s="2" t="inlineStr">
        <is>
          <t>Outperformance (allowance less actual)</t>
        </is>
      </c>
      <c r="C15" s="14">
        <f>C12-C14</f>
        <v/>
      </c>
      <c r="D15" s="14">
        <f>D12-D14</f>
        <v/>
      </c>
      <c r="E15" s="14">
        <f>E12-E14</f>
        <v/>
      </c>
      <c r="F15" s="14">
        <f>F12-F14</f>
        <v/>
      </c>
      <c r="G15" s="14">
        <f>G12-G14</f>
        <v/>
      </c>
      <c r="H15" s="14">
        <f>H12-H14</f>
        <v/>
      </c>
      <c r="I15" s="14">
        <f>I12-I14</f>
        <v/>
      </c>
    </row>
    <row r="16">
      <c r="B16" s="2" t="inlineStr">
        <is>
          <t>Customers' share (added to or taken from revenue)</t>
        </is>
      </c>
      <c r="C16" s="14">
        <f>-Inputs!$C$14*C15</f>
        <v/>
      </c>
      <c r="D16" s="14">
        <f>-Inputs!$C$14*D15</f>
        <v/>
      </c>
      <c r="E16" s="14">
        <f>-Inputs!$C$14*E15</f>
        <v/>
      </c>
      <c r="F16" s="14">
        <f>-Inputs!$C$14*F15</f>
        <v/>
      </c>
      <c r="G16" s="14">
        <f>-Inputs!$C$14*G15</f>
        <v/>
      </c>
      <c r="H16" s="14">
        <f>-Inputs!$C$14*H15</f>
        <v/>
      </c>
      <c r="I16" s="14">
        <f>-Inputs!$C$14*I15</f>
        <v/>
      </c>
    </row>
    <row r="17">
      <c r="B17" s="2" t="inlineStr">
        <is>
          <t>Revenue</t>
        </is>
      </c>
      <c r="C17" s="14">
        <f>C12+C9+C13+C16</f>
        <v/>
      </c>
      <c r="D17" s="14">
        <f>D12+D9+D13+D16</f>
        <v/>
      </c>
      <c r="E17" s="14">
        <f>E12+E9+E13+E16</f>
        <v/>
      </c>
      <c r="F17" s="14">
        <f>F12+F9+F13+F16</f>
        <v/>
      </c>
      <c r="G17" s="14">
        <f>G12+G9+G13+G16</f>
        <v/>
      </c>
      <c r="H17" s="14">
        <f>H12+H9+H13+H16</f>
        <v/>
      </c>
      <c r="I17" s="14">
        <f>I12+I9+I13+I16</f>
        <v/>
      </c>
    </row>
    <row r="18">
      <c r="B18" s="5" t="inlineStr">
        <is>
          <t>EBITDA</t>
        </is>
      </c>
      <c r="C18" s="15">
        <f>C17-C14</f>
        <v/>
      </c>
      <c r="D18" s="15">
        <f>D17-D14</f>
        <v/>
      </c>
      <c r="E18" s="15">
        <f>E17-E14</f>
        <v/>
      </c>
      <c r="F18" s="15">
        <f>F17-F14</f>
        <v/>
      </c>
      <c r="G18" s="15">
        <f>G17-G14</f>
        <v/>
      </c>
      <c r="H18" s="15">
        <f>H17-H14</f>
        <v/>
      </c>
      <c r="I18" s="15">
        <f>I17-I14</f>
        <v/>
      </c>
    </row>
    <row r="19">
      <c r="B19" s="2" t="inlineStr">
        <is>
          <t>Opening debt</t>
        </is>
      </c>
      <c r="C19" s="14">
        <f>Inputs!$C$18*Inputs!$C$6</f>
        <v/>
      </c>
      <c r="D19" s="14">
        <f>C20</f>
        <v/>
      </c>
      <c r="E19" s="14">
        <f>D20</f>
        <v/>
      </c>
      <c r="F19" s="14">
        <f>E20</f>
        <v/>
      </c>
      <c r="G19" s="14">
        <f>F20</f>
        <v/>
      </c>
      <c r="H19" s="14">
        <f>G20</f>
        <v/>
      </c>
      <c r="I19" s="14">
        <f>H20</f>
        <v/>
      </c>
    </row>
    <row r="20">
      <c r="B20" s="2" t="inlineStr">
        <is>
          <t>Closing debt (target gearing)</t>
        </is>
      </c>
      <c r="C20" s="14">
        <f>Inputs!$C$18*C10</f>
        <v/>
      </c>
      <c r="D20" s="14">
        <f>Inputs!$C$18*D10</f>
        <v/>
      </c>
      <c r="E20" s="14">
        <f>Inputs!$C$18*E10</f>
        <v/>
      </c>
      <c r="F20" s="14">
        <f>Inputs!$C$18*F10</f>
        <v/>
      </c>
      <c r="G20" s="14">
        <f>Inputs!$C$18*G10</f>
        <v/>
      </c>
      <c r="H20" s="14">
        <f>Inputs!$C$18*H10</f>
        <v/>
      </c>
      <c r="I20" s="14">
        <f>Inputs!$C$18*I10</f>
        <v/>
      </c>
    </row>
    <row r="21">
      <c r="B21" s="2" t="inlineStr">
        <is>
          <t>Interest</t>
        </is>
      </c>
      <c r="C21" s="14">
        <f>Inputs!$C$20*(C19+C20)/2</f>
        <v/>
      </c>
      <c r="D21" s="14">
        <f>Inputs!$C$20*(D19+D20)/2</f>
        <v/>
      </c>
      <c r="E21" s="14">
        <f>Inputs!$C$20*(E19+E20)/2</f>
        <v/>
      </c>
      <c r="F21" s="14">
        <f>Inputs!$C$20*(F19+F20)/2</f>
        <v/>
      </c>
      <c r="G21" s="14">
        <f>Inputs!$C$20*(G19+G20)/2</f>
        <v/>
      </c>
      <c r="H21" s="14">
        <f>Inputs!$C$20*(H19+H20)/2</f>
        <v/>
      </c>
      <c r="I21" s="14">
        <f>Inputs!$C$20*(I19+I20)/2</f>
        <v/>
      </c>
    </row>
    <row r="22">
      <c r="B22" s="2" t="inlineStr">
        <is>
          <t>Tax (illustrative)</t>
        </is>
      </c>
      <c r="C22" s="14">
        <f>MAX(0,Inputs!$C$21*(C18-C9-C21))</f>
        <v/>
      </c>
      <c r="D22" s="14">
        <f>MAX(0,Inputs!$C$21*(D18-D9-D21))</f>
        <v/>
      </c>
      <c r="E22" s="14">
        <f>MAX(0,Inputs!$C$21*(E18-E9-E21))</f>
        <v/>
      </c>
      <c r="F22" s="14">
        <f>MAX(0,Inputs!$C$21*(F18-F9-F21))</f>
        <v/>
      </c>
      <c r="G22" s="14">
        <f>MAX(0,Inputs!$C$21*(G18-G9-G21))</f>
        <v/>
      </c>
      <c r="H22" s="14">
        <f>MAX(0,Inputs!$C$21*(H18-H9-H21))</f>
        <v/>
      </c>
      <c r="I22" s="14">
        <f>MAX(0,Inputs!$C$21*(I18-I9-I21))</f>
        <v/>
      </c>
    </row>
    <row r="23">
      <c r="B23" s="5" t="inlineStr">
        <is>
          <t>Cash distributed to the holding company</t>
        </is>
      </c>
      <c r="C23" s="15">
        <f>C18-C8-C21-C22+C20-C19</f>
        <v/>
      </c>
      <c r="D23" s="15">
        <f>D18-D8-D21-D22+D20-D19</f>
        <v/>
      </c>
      <c r="E23" s="15">
        <f>E18-E8-E21-E22+E20-E19</f>
        <v/>
      </c>
      <c r="F23" s="15">
        <f>F18-F8-F21-F22+F20-F19</f>
        <v/>
      </c>
      <c r="G23" s="15">
        <f>G18-G8-G21-G22+G20-G19</f>
        <v/>
      </c>
      <c r="H23" s="15">
        <f>H18-H8-H21-H22+H20-H19</f>
        <v/>
      </c>
      <c r="I23" s="15">
        <f>I18-I8-I21-I22+I20-I19</f>
        <v/>
      </c>
    </row>
    <row r="24">
      <c r="B24" s="2" t="inlineStr">
        <is>
          <t>Gearing</t>
        </is>
      </c>
      <c r="C24" s="16">
        <f>C20/C10</f>
        <v/>
      </c>
      <c r="D24" s="16">
        <f>D20/D10</f>
        <v/>
      </c>
      <c r="E24" s="16">
        <f>E20/E10</f>
        <v/>
      </c>
      <c r="F24" s="16">
        <f>F20/F10</f>
        <v/>
      </c>
      <c r="G24" s="16">
        <f>G20/G10</f>
        <v/>
      </c>
      <c r="H24" s="16">
        <f>H20/H10</f>
        <v/>
      </c>
      <c r="I24" s="16">
        <f>I20/I10</f>
        <v/>
      </c>
    </row>
    <row r="25">
      <c r="B25" s="2" t="inlineStr">
        <is>
          <t>Interest cover (EBITDA / interest)</t>
        </is>
      </c>
      <c r="C25" s="17">
        <f>C18/C21</f>
        <v/>
      </c>
      <c r="D25" s="17">
        <f>D18/D21</f>
        <v/>
      </c>
      <c r="E25" s="17">
        <f>E18/E21</f>
        <v/>
      </c>
      <c r="F25" s="17">
        <f>F18/F21</f>
        <v/>
      </c>
      <c r="G25" s="17">
        <f>G18/G21</f>
        <v/>
      </c>
      <c r="H25" s="17">
        <f>H18/H21</f>
        <v/>
      </c>
      <c r="I25" s="17">
        <f>I18/I21</f>
        <v/>
      </c>
    </row>
    <row r="26">
      <c r="B26" s="2" t="inlineStr">
        <is>
          <t>Gearing covenant test</t>
        </is>
      </c>
      <c r="C26" s="2">
        <f>IF(C24&lt;=Inputs!$C$19,"OK","BREACH")</f>
        <v/>
      </c>
      <c r="D26" s="2">
        <f>IF(D24&lt;=Inputs!$C$19,"OK","BREACH")</f>
        <v/>
      </c>
      <c r="E26" s="2">
        <f>IF(E24&lt;=Inputs!$C$19,"OK","BREACH")</f>
        <v/>
      </c>
      <c r="F26" s="2">
        <f>IF(F24&lt;=Inputs!$C$19,"OK","BREACH")</f>
        <v/>
      </c>
      <c r="G26" s="2">
        <f>IF(G24&lt;=Inputs!$C$19,"OK","BREACH")</f>
        <v/>
      </c>
      <c r="H26" s="2">
        <f>IF(H24&lt;=Inputs!$C$19,"OK","BREACH")</f>
        <v/>
      </c>
      <c r="I26" s="2">
        <f>IF(I24&lt;=Inputs!$C$19,"OK","BREACH")</f>
        <v/>
      </c>
    </row>
    <row r="28">
      <c r="B28" s="5" t="inlineStr">
        <is>
          <t>Budget versus actual 2025</t>
        </is>
      </c>
    </row>
    <row r="29">
      <c r="B29" s="2" t="inlineStr">
        <is>
          <t>Opex: actual less budget (overrun)</t>
        </is>
      </c>
      <c r="C29" s="14">
        <f>C14-Inputs!$C$13</f>
        <v/>
      </c>
    </row>
    <row r="30">
      <c r="B30" s="2" t="inlineStr">
        <is>
          <t>Capex: budget less actual (underspend, lowers the RAB)</t>
        </is>
      </c>
      <c r="C30" s="14">
        <f>Inputs!$C$17-C8</f>
        <v/>
      </c>
    </row>
    <row r="31">
      <c r="B31" s="2" t="inlineStr">
        <is>
          <t>RAB fall that would break the gearing covenant</t>
        </is>
      </c>
      <c r="C31" s="16">
        <f>1-Inputs!$C$18/Inputs!$C$19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10" customHeight="1"/>
    <row r="2">
      <c r="B2" s="1" t="inlineStr">
        <is>
          <t>Aldmere Solar: output, DSCR and lock-up (Chapters 9 and 11)</t>
        </is>
      </c>
      <c r="C2" s="3" t="n"/>
      <c r="D2" s="3" t="n"/>
      <c r="E2" s="3" t="n"/>
      <c r="F2" s="3" t="n"/>
      <c r="G2" s="3" t="n"/>
      <c r="H2" s="3" t="n"/>
      <c r="I2" s="3" t="n"/>
    </row>
    <row r="4">
      <c r="B4" s="4" t="inlineStr">
        <is>
          <t>$ million</t>
        </is>
      </c>
      <c r="C4" s="4" t="inlineStr">
        <is>
          <t>2025</t>
        </is>
      </c>
      <c r="D4" s="4" t="inlineStr">
        <is>
          <t>2026</t>
        </is>
      </c>
      <c r="E4" s="4" t="inlineStr">
        <is>
          <t>2027</t>
        </is>
      </c>
      <c r="F4" s="4" t="inlineStr">
        <is>
          <t>2028</t>
        </is>
      </c>
      <c r="G4" s="4" t="inlineStr">
        <is>
          <t>2029</t>
        </is>
      </c>
      <c r="H4" s="4" t="inlineStr">
        <is>
          <t>2030</t>
        </is>
      </c>
      <c r="I4" s="4" t="inlineStr">
        <is>
          <t>2031</t>
        </is>
      </c>
    </row>
    <row r="5">
      <c r="B5" s="2" t="inlineStr">
        <is>
          <t>Year</t>
        </is>
      </c>
      <c r="C5" s="18" t="n">
        <v>2025</v>
      </c>
      <c r="D5" s="18" t="n">
        <v>2026</v>
      </c>
      <c r="E5" s="18" t="n">
        <v>2027</v>
      </c>
      <c r="F5" s="18" t="n">
        <v>2028</v>
      </c>
      <c r="G5" s="18" t="n">
        <v>2029</v>
      </c>
      <c r="H5" s="18" t="n">
        <v>2030</v>
      </c>
      <c r="I5" s="18" t="n">
        <v>2031</v>
      </c>
    </row>
    <row r="6">
      <c r="B6" s="2" t="inlineStr">
        <is>
          <t>Output (GWh)</t>
        </is>
      </c>
      <c r="C6" s="14">
        <f>Inputs!$C$25*8760*Inputs!$C$26*(1-Inputs!$C$27)^0/1000*IF(C5=Inputs!$C$28,1-Inputs!$C$29,1)</f>
        <v/>
      </c>
      <c r="D6" s="14">
        <f>Inputs!$C$25*8760*Inputs!$C$26*(1-Inputs!$C$27)^1/1000*IF(D5=Inputs!$C$28,1-Inputs!$C$29,1)</f>
        <v/>
      </c>
      <c r="E6" s="14">
        <f>Inputs!$C$25*8760*Inputs!$C$26*(1-Inputs!$C$27)^2/1000*IF(E5=Inputs!$C$28,1-Inputs!$C$29,1)</f>
        <v/>
      </c>
      <c r="F6" s="14">
        <f>Inputs!$C$25*8760*Inputs!$C$26*(1-Inputs!$C$27)^3/1000*IF(F5=Inputs!$C$28,1-Inputs!$C$29,1)</f>
        <v/>
      </c>
      <c r="G6" s="14">
        <f>Inputs!$C$25*8760*Inputs!$C$26*(1-Inputs!$C$27)^4/1000*IF(G5=Inputs!$C$28,1-Inputs!$C$29,1)</f>
        <v/>
      </c>
      <c r="H6" s="14">
        <f>Inputs!$C$25*8760*Inputs!$C$26*(1-Inputs!$C$27)^5/1000*IF(H5=Inputs!$C$28,1-Inputs!$C$29,1)</f>
        <v/>
      </c>
      <c r="I6" s="14">
        <f>Inputs!$C$25*8760*Inputs!$C$26*(1-Inputs!$C$27)^6/1000*IF(I5=Inputs!$C$28,1-Inputs!$C$29,1)</f>
        <v/>
      </c>
    </row>
    <row r="7">
      <c r="B7" s="2" t="inlineStr">
        <is>
          <t>PPA price ($ per MWh)</t>
        </is>
      </c>
      <c r="C7" s="19">
        <f>Inputs!$C$32*(1+Inputs!$C$33)^0</f>
        <v/>
      </c>
      <c r="D7" s="19">
        <f>Inputs!$C$32*(1+Inputs!$C$33)^1</f>
        <v/>
      </c>
      <c r="E7" s="19">
        <f>Inputs!$C$32*(1+Inputs!$C$33)^2</f>
        <v/>
      </c>
      <c r="F7" s="19">
        <f>Inputs!$C$32*(1+Inputs!$C$33)^3</f>
        <v/>
      </c>
      <c r="G7" s="19">
        <f>Inputs!$C$32*(1+Inputs!$C$33)^4</f>
        <v/>
      </c>
      <c r="H7" s="19">
        <f>Inputs!$C$32*(1+Inputs!$C$33)^5</f>
        <v/>
      </c>
      <c r="I7" s="19">
        <f>Inputs!$C$32*(1+Inputs!$C$33)^6</f>
        <v/>
      </c>
    </row>
    <row r="8">
      <c r="B8" s="2" t="inlineStr">
        <is>
          <t>Revenue</t>
        </is>
      </c>
      <c r="C8" s="14">
        <f>C6*C7/1000</f>
        <v/>
      </c>
      <c r="D8" s="14">
        <f>D6*D7/1000</f>
        <v/>
      </c>
      <c r="E8" s="14">
        <f>E6*E7/1000</f>
        <v/>
      </c>
      <c r="F8" s="14">
        <f>F6*F7/1000</f>
        <v/>
      </c>
      <c r="G8" s="14">
        <f>G6*G7/1000</f>
        <v/>
      </c>
      <c r="H8" s="14">
        <f>H6*H7/1000</f>
        <v/>
      </c>
      <c r="I8" s="14">
        <f>I6*I7/1000</f>
        <v/>
      </c>
    </row>
    <row r="9">
      <c r="B9" s="2" t="inlineStr">
        <is>
          <t>Insurance payment</t>
        </is>
      </c>
      <c r="C9" s="14">
        <f>IF(C5=Inputs!$C$30,Inputs!$C$31,0)</f>
        <v/>
      </c>
      <c r="D9" s="14">
        <f>IF(D5=Inputs!$C$30,Inputs!$C$31,0)</f>
        <v/>
      </c>
      <c r="E9" s="14">
        <f>IF(E5=Inputs!$C$30,Inputs!$C$31,0)</f>
        <v/>
      </c>
      <c r="F9" s="14">
        <f>IF(F5=Inputs!$C$30,Inputs!$C$31,0)</f>
        <v/>
      </c>
      <c r="G9" s="14">
        <f>IF(G5=Inputs!$C$30,Inputs!$C$31,0)</f>
        <v/>
      </c>
      <c r="H9" s="14">
        <f>IF(H5=Inputs!$C$30,Inputs!$C$31,0)</f>
        <v/>
      </c>
      <c r="I9" s="14">
        <f>IF(I5=Inputs!$C$30,Inputs!$C$31,0)</f>
        <v/>
      </c>
    </row>
    <row r="10">
      <c r="B10" s="2" t="inlineStr">
        <is>
          <t>Opex</t>
        </is>
      </c>
      <c r="C10" s="14">
        <f>Inputs!$C$34*(1+Inputs!$C$35)^0</f>
        <v/>
      </c>
      <c r="D10" s="14">
        <f>Inputs!$C$34*(1+Inputs!$C$35)^1</f>
        <v/>
      </c>
      <c r="E10" s="14">
        <f>Inputs!$C$34*(1+Inputs!$C$35)^2</f>
        <v/>
      </c>
      <c r="F10" s="14">
        <f>Inputs!$C$34*(1+Inputs!$C$35)^3</f>
        <v/>
      </c>
      <c r="G10" s="14">
        <f>Inputs!$C$34*(1+Inputs!$C$35)^4</f>
        <v/>
      </c>
      <c r="H10" s="14">
        <f>Inputs!$C$34*(1+Inputs!$C$35)^5</f>
        <v/>
      </c>
      <c r="I10" s="14">
        <f>Inputs!$C$34*(1+Inputs!$C$35)^6</f>
        <v/>
      </c>
    </row>
    <row r="11">
      <c r="B11" s="5" t="inlineStr">
        <is>
          <t>EBITDA</t>
        </is>
      </c>
      <c r="C11" s="15">
        <f>C8+C9-C10</f>
        <v/>
      </c>
      <c r="D11" s="15">
        <f>D8+D9-D10</f>
        <v/>
      </c>
      <c r="E11" s="15">
        <f>E8+E9-E10</f>
        <v/>
      </c>
      <c r="F11" s="15">
        <f>F8+F9-F10</f>
        <v/>
      </c>
      <c r="G11" s="15">
        <f>G8+G9-G10</f>
        <v/>
      </c>
      <c r="H11" s="15">
        <f>H8+H9-H10</f>
        <v/>
      </c>
      <c r="I11" s="15">
        <f>I8+I9-I10</f>
        <v/>
      </c>
    </row>
    <row r="12">
      <c r="B12" s="2" t="inlineStr">
        <is>
          <t>Opening debt</t>
        </is>
      </c>
      <c r="C12" s="14">
        <f>Inputs!$C$36</f>
        <v/>
      </c>
      <c r="D12" s="14">
        <f>C16</f>
        <v/>
      </c>
      <c r="E12" s="14">
        <f>D16</f>
        <v/>
      </c>
      <c r="F12" s="14">
        <f>E16</f>
        <v/>
      </c>
      <c r="G12" s="14">
        <f>F16</f>
        <v/>
      </c>
      <c r="H12" s="14">
        <f>G16</f>
        <v/>
      </c>
      <c r="I12" s="14">
        <f>H16</f>
        <v/>
      </c>
    </row>
    <row r="13">
      <c r="B13" s="2" t="inlineStr">
        <is>
          <t>Debt service</t>
        </is>
      </c>
      <c r="C13" s="19">
        <f>PMT(Inputs!$C$37,Inputs!$C$38,-Inputs!$C$36)</f>
        <v/>
      </c>
      <c r="D13" s="19">
        <f>PMT(Inputs!$C$37,Inputs!$C$38,-Inputs!$C$36)</f>
        <v/>
      </c>
      <c r="E13" s="19">
        <f>PMT(Inputs!$C$37,Inputs!$C$38,-Inputs!$C$36)</f>
        <v/>
      </c>
      <c r="F13" s="19">
        <f>PMT(Inputs!$C$37,Inputs!$C$38,-Inputs!$C$36)</f>
        <v/>
      </c>
      <c r="G13" s="19">
        <f>PMT(Inputs!$C$37,Inputs!$C$38,-Inputs!$C$36)</f>
        <v/>
      </c>
      <c r="H13" s="19">
        <f>PMT(Inputs!$C$37,Inputs!$C$38,-Inputs!$C$36)</f>
        <v/>
      </c>
      <c r="I13" s="19">
        <f>PMT(Inputs!$C$37,Inputs!$C$38,-Inputs!$C$36)</f>
        <v/>
      </c>
    </row>
    <row r="14">
      <c r="B14" s="2" t="inlineStr">
        <is>
          <t>Interest</t>
        </is>
      </c>
      <c r="C14" s="19">
        <f>C12*Inputs!$C$37</f>
        <v/>
      </c>
      <c r="D14" s="19">
        <f>D12*Inputs!$C$37</f>
        <v/>
      </c>
      <c r="E14" s="19">
        <f>E12*Inputs!$C$37</f>
        <v/>
      </c>
      <c r="F14" s="19">
        <f>F12*Inputs!$C$37</f>
        <v/>
      </c>
      <c r="G14" s="19">
        <f>G12*Inputs!$C$37</f>
        <v/>
      </c>
      <c r="H14" s="19">
        <f>H12*Inputs!$C$37</f>
        <v/>
      </c>
      <c r="I14" s="19">
        <f>I12*Inputs!$C$37</f>
        <v/>
      </c>
    </row>
    <row r="15">
      <c r="B15" s="2" t="inlineStr">
        <is>
          <t>Principal</t>
        </is>
      </c>
      <c r="C15" s="19">
        <f>C13-C14</f>
        <v/>
      </c>
      <c r="D15" s="19">
        <f>D13-D14</f>
        <v/>
      </c>
      <c r="E15" s="19">
        <f>E13-E14</f>
        <v/>
      </c>
      <c r="F15" s="19">
        <f>F13-F14</f>
        <v/>
      </c>
      <c r="G15" s="19">
        <f>G13-G14</f>
        <v/>
      </c>
      <c r="H15" s="19">
        <f>H13-H14</f>
        <v/>
      </c>
      <c r="I15" s="19">
        <f>I13-I14</f>
        <v/>
      </c>
    </row>
    <row r="16">
      <c r="B16" s="2" t="inlineStr">
        <is>
          <t>Closing debt</t>
        </is>
      </c>
      <c r="C16" s="14">
        <f>C12-C15</f>
        <v/>
      </c>
      <c r="D16" s="14">
        <f>D12-D15</f>
        <v/>
      </c>
      <c r="E16" s="14">
        <f>E12-E15</f>
        <v/>
      </c>
      <c r="F16" s="14">
        <f>F12-F15</f>
        <v/>
      </c>
      <c r="G16" s="14">
        <f>G12-G15</f>
        <v/>
      </c>
      <c r="H16" s="14">
        <f>H12-H15</f>
        <v/>
      </c>
      <c r="I16" s="14">
        <f>I12-I15</f>
        <v/>
      </c>
    </row>
    <row r="17">
      <c r="B17" s="2" t="inlineStr">
        <is>
          <t>Tax (illustrative)</t>
        </is>
      </c>
      <c r="C17" s="19">
        <f>MAX(0,Inputs!$C$21*(C11-Inputs!$C$39-C14))</f>
        <v/>
      </c>
      <c r="D17" s="19">
        <f>MAX(0,Inputs!$C$21*(D11-Inputs!$C$39-D14))</f>
        <v/>
      </c>
      <c r="E17" s="19">
        <f>MAX(0,Inputs!$C$21*(E11-Inputs!$C$39-E14))</f>
        <v/>
      </c>
      <c r="F17" s="19">
        <f>MAX(0,Inputs!$C$21*(F11-Inputs!$C$39-F14))</f>
        <v/>
      </c>
      <c r="G17" s="19">
        <f>MAX(0,Inputs!$C$21*(G11-Inputs!$C$39-G14))</f>
        <v/>
      </c>
      <c r="H17" s="19">
        <f>MAX(0,Inputs!$C$21*(H11-Inputs!$C$39-H14))</f>
        <v/>
      </c>
      <c r="I17" s="19">
        <f>MAX(0,Inputs!$C$21*(I11-Inputs!$C$39-I14))</f>
        <v/>
      </c>
    </row>
    <row r="18">
      <c r="B18" s="2" t="inlineStr">
        <is>
          <t>CFADS</t>
        </is>
      </c>
      <c r="C18" s="19">
        <f>C11-C17</f>
        <v/>
      </c>
      <c r="D18" s="19">
        <f>D11-D17</f>
        <v/>
      </c>
      <c r="E18" s="19">
        <f>E11-E17</f>
        <v/>
      </c>
      <c r="F18" s="19">
        <f>F11-F17</f>
        <v/>
      </c>
      <c r="G18" s="19">
        <f>G11-G17</f>
        <v/>
      </c>
      <c r="H18" s="19">
        <f>H11-H17</f>
        <v/>
      </c>
      <c r="I18" s="19">
        <f>I11-I17</f>
        <v/>
      </c>
    </row>
    <row r="19">
      <c r="B19" s="5" t="inlineStr">
        <is>
          <t>DSCR</t>
        </is>
      </c>
      <c r="C19" s="20">
        <f>C18/C13</f>
        <v/>
      </c>
      <c r="D19" s="20">
        <f>D18/D13</f>
        <v/>
      </c>
      <c r="E19" s="20">
        <f>E18/E13</f>
        <v/>
      </c>
      <c r="F19" s="20">
        <f>F18/F13</f>
        <v/>
      </c>
      <c r="G19" s="20">
        <f>G18/G13</f>
        <v/>
      </c>
      <c r="H19" s="20">
        <f>H18/H13</f>
        <v/>
      </c>
      <c r="I19" s="20">
        <f>I18/I13</f>
        <v/>
      </c>
    </row>
    <row r="20">
      <c r="B20" s="2" t="inlineStr">
        <is>
          <t>Lock-up?</t>
        </is>
      </c>
      <c r="C20" s="2">
        <f>IF(C19&lt;Inputs!$C$40,"LOCK-UP","no")</f>
        <v/>
      </c>
      <c r="D20" s="2">
        <f>IF(D19&lt;Inputs!$C$40,"LOCK-UP","no")</f>
        <v/>
      </c>
      <c r="E20" s="2">
        <f>IF(E19&lt;Inputs!$C$40,"LOCK-UP","no")</f>
        <v/>
      </c>
      <c r="F20" s="2">
        <f>IF(F19&lt;Inputs!$C$40,"LOCK-UP","no")</f>
        <v/>
      </c>
      <c r="G20" s="2">
        <f>IF(G19&lt;Inputs!$C$40,"LOCK-UP","no")</f>
        <v/>
      </c>
      <c r="H20" s="2">
        <f>IF(H19&lt;Inputs!$C$40,"LOCK-UP","no")</f>
        <v/>
      </c>
      <c r="I20" s="2">
        <f>IF(I19&lt;Inputs!$C$40,"LOCK-UP","no")</f>
        <v/>
      </c>
    </row>
    <row r="21">
      <c r="B21" s="2" t="inlineStr">
        <is>
          <t>Cash after debt service</t>
        </is>
      </c>
      <c r="C21" s="19">
        <f>C18-C13</f>
        <v/>
      </c>
      <c r="D21" s="19">
        <f>D18-D13</f>
        <v/>
      </c>
      <c r="E21" s="19">
        <f>E18-E13</f>
        <v/>
      </c>
      <c r="F21" s="19">
        <f>F18-F13</f>
        <v/>
      </c>
      <c r="G21" s="19">
        <f>G18-G13</f>
        <v/>
      </c>
      <c r="H21" s="19">
        <f>H18-H13</f>
        <v/>
      </c>
      <c r="I21" s="19">
        <f>I18-I13</f>
        <v/>
      </c>
    </row>
    <row r="22">
      <c r="B22" s="2" t="inlineStr">
        <is>
          <t>Cash trapped this year</t>
        </is>
      </c>
      <c r="C22" s="19">
        <f>IF(C20="LOCK-UP",C21,0)</f>
        <v/>
      </c>
      <c r="D22" s="19">
        <f>IF(D20="LOCK-UP",D21,0)</f>
        <v/>
      </c>
      <c r="E22" s="19">
        <f>IF(E20="LOCK-UP",E21,0)</f>
        <v/>
      </c>
      <c r="F22" s="19">
        <f>IF(F20="LOCK-UP",F21,0)</f>
        <v/>
      </c>
      <c r="G22" s="19">
        <f>IF(G20="LOCK-UP",G21,0)</f>
        <v/>
      </c>
      <c r="H22" s="19">
        <f>IF(H20="LOCK-UP",H21,0)</f>
        <v/>
      </c>
      <c r="I22" s="19">
        <f>IF(I20="LOCK-UP",I21,0)</f>
        <v/>
      </c>
    </row>
    <row r="23">
      <c r="B23" s="5" t="inlineStr">
        <is>
          <t>Distributed (including released cash)</t>
        </is>
      </c>
      <c r="C23" s="21">
        <f>IF(C20="LOCK-UP",0,C21+0)</f>
        <v/>
      </c>
      <c r="D23" s="21">
        <f>IF(D20="LOCK-UP",0,D21+C22)</f>
        <v/>
      </c>
      <c r="E23" s="21">
        <f>IF(E20="LOCK-UP",0,E21+D22)</f>
        <v/>
      </c>
      <c r="F23" s="21">
        <f>IF(F20="LOCK-UP",0,F21+E22)</f>
        <v/>
      </c>
      <c r="G23" s="21">
        <f>IF(G20="LOCK-UP",0,G21+F22)</f>
        <v/>
      </c>
      <c r="H23" s="21">
        <f>IF(H20="LOCK-UP",0,H21+G22)</f>
        <v/>
      </c>
      <c r="I23" s="21">
        <f>IF(I20="LOCK-UP",0,I21+H22)</f>
        <v/>
      </c>
    </row>
    <row r="24">
      <c r="B24" s="2" t="inlineStr">
        <is>
          <t>Event of default test</t>
        </is>
      </c>
      <c r="C24" s="2">
        <f>IF(C19&lt;Inputs!$C$41,"DEFAULT","OK")</f>
        <v/>
      </c>
      <c r="D24" s="2">
        <f>IF(D19&lt;Inputs!$C$41,"DEFAULT","OK")</f>
        <v/>
      </c>
      <c r="E24" s="2">
        <f>IF(E19&lt;Inputs!$C$41,"DEFAULT","OK")</f>
        <v/>
      </c>
      <c r="F24" s="2">
        <f>IF(F19&lt;Inputs!$C$41,"DEFAULT","OK")</f>
        <v/>
      </c>
      <c r="G24" s="2">
        <f>IF(G19&lt;Inputs!$C$41,"DEFAULT","OK")</f>
        <v/>
      </c>
      <c r="H24" s="2">
        <f>IF(H19&lt;Inputs!$C$41,"DEFAULT","OK")</f>
        <v/>
      </c>
      <c r="I24" s="2">
        <f>IF(I19&lt;Inputs!$C$41,"DEFAULT","OK")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V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</cols>
  <sheetData>
    <row r="1" ht="10" customHeight="1"/>
    <row r="2">
      <c r="B2" s="1" t="inlineStr">
        <is>
          <t>Aldmere Schools: availability-based concession to 2044 (Chapters 7 and 9)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</row>
    <row r="4">
      <c r="B4" s="4" t="inlineStr">
        <is>
          <t>$ million</t>
        </is>
      </c>
      <c r="C4" s="4" t="inlineStr">
        <is>
          <t>2025</t>
        </is>
      </c>
      <c r="D4" s="4" t="inlineStr">
        <is>
          <t>2026</t>
        </is>
      </c>
      <c r="E4" s="4" t="inlineStr">
        <is>
          <t>2027</t>
        </is>
      </c>
      <c r="F4" s="4" t="inlineStr">
        <is>
          <t>2028</t>
        </is>
      </c>
      <c r="G4" s="4" t="inlineStr">
        <is>
          <t>2029</t>
        </is>
      </c>
      <c r="H4" s="4" t="inlineStr">
        <is>
          <t>2030</t>
        </is>
      </c>
      <c r="I4" s="4" t="inlineStr">
        <is>
          <t>2031</t>
        </is>
      </c>
      <c r="J4" s="4" t="inlineStr">
        <is>
          <t>2032</t>
        </is>
      </c>
      <c r="K4" s="4" t="inlineStr">
        <is>
          <t>2033</t>
        </is>
      </c>
      <c r="L4" s="4" t="inlineStr">
        <is>
          <t>2034</t>
        </is>
      </c>
      <c r="M4" s="4" t="inlineStr">
        <is>
          <t>2035</t>
        </is>
      </c>
      <c r="N4" s="4" t="inlineStr">
        <is>
          <t>2036</t>
        </is>
      </c>
      <c r="O4" s="4" t="inlineStr">
        <is>
          <t>2037</t>
        </is>
      </c>
      <c r="P4" s="4" t="inlineStr">
        <is>
          <t>2038</t>
        </is>
      </c>
      <c r="Q4" s="4" t="inlineStr">
        <is>
          <t>2039</t>
        </is>
      </c>
      <c r="R4" s="4" t="inlineStr">
        <is>
          <t>2040</t>
        </is>
      </c>
      <c r="S4" s="4" t="inlineStr">
        <is>
          <t>2041</t>
        </is>
      </c>
      <c r="T4" s="4" t="inlineStr">
        <is>
          <t>2042</t>
        </is>
      </c>
      <c r="U4" s="4" t="inlineStr">
        <is>
          <t>2043</t>
        </is>
      </c>
      <c r="V4" s="4" t="inlineStr">
        <is>
          <t>2044</t>
        </is>
      </c>
    </row>
    <row r="5">
      <c r="B5" s="2" t="inlineStr">
        <is>
          <t>Year</t>
        </is>
      </c>
      <c r="C5" s="18" t="n">
        <v>2025</v>
      </c>
      <c r="D5" s="18" t="n">
        <v>2026</v>
      </c>
      <c r="E5" s="18" t="n">
        <v>2027</v>
      </c>
      <c r="F5" s="18" t="n">
        <v>2028</v>
      </c>
      <c r="G5" s="18" t="n">
        <v>2029</v>
      </c>
      <c r="H5" s="18" t="n">
        <v>2030</v>
      </c>
      <c r="I5" s="18" t="n">
        <v>2031</v>
      </c>
      <c r="J5" s="18" t="n">
        <v>2032</v>
      </c>
      <c r="K5" s="18" t="n">
        <v>2033</v>
      </c>
      <c r="L5" s="18" t="n">
        <v>2034</v>
      </c>
      <c r="M5" s="18" t="n">
        <v>2035</v>
      </c>
      <c r="N5" s="18" t="n">
        <v>2036</v>
      </c>
      <c r="O5" s="18" t="n">
        <v>2037</v>
      </c>
      <c r="P5" s="18" t="n">
        <v>2038</v>
      </c>
      <c r="Q5" s="18" t="n">
        <v>2039</v>
      </c>
      <c r="R5" s="18" t="n">
        <v>2040</v>
      </c>
      <c r="S5" s="18" t="n">
        <v>2041</v>
      </c>
      <c r="T5" s="18" t="n">
        <v>2042</v>
      </c>
      <c r="U5" s="18" t="n">
        <v>2043</v>
      </c>
      <c r="V5" s="18" t="n">
        <v>2044</v>
      </c>
    </row>
    <row r="6">
      <c r="B6" s="2" t="inlineStr">
        <is>
          <t>Index factor</t>
        </is>
      </c>
      <c r="C6" s="13">
        <f>(1+Inputs!$C$47)^0</f>
        <v/>
      </c>
      <c r="D6" s="13">
        <f>(1+Inputs!$C$47)^1</f>
        <v/>
      </c>
      <c r="E6" s="13">
        <f>(1+Inputs!$C$47)^2</f>
        <v/>
      </c>
      <c r="F6" s="13">
        <f>(1+Inputs!$C$47)^3</f>
        <v/>
      </c>
      <c r="G6" s="13">
        <f>(1+Inputs!$C$47)^4</f>
        <v/>
      </c>
      <c r="H6" s="13">
        <f>(1+Inputs!$C$47)^5</f>
        <v/>
      </c>
      <c r="I6" s="13">
        <f>(1+Inputs!$C$47)^6</f>
        <v/>
      </c>
      <c r="J6" s="13">
        <f>(1+Inputs!$C$47)^7</f>
        <v/>
      </c>
      <c r="K6" s="13">
        <f>(1+Inputs!$C$47)^8</f>
        <v/>
      </c>
      <c r="L6" s="13">
        <f>(1+Inputs!$C$47)^9</f>
        <v/>
      </c>
      <c r="M6" s="13">
        <f>(1+Inputs!$C$47)^10</f>
        <v/>
      </c>
      <c r="N6" s="13">
        <f>(1+Inputs!$C$47)^11</f>
        <v/>
      </c>
      <c r="O6" s="13">
        <f>(1+Inputs!$C$47)^12</f>
        <v/>
      </c>
      <c r="P6" s="13">
        <f>(1+Inputs!$C$47)^13</f>
        <v/>
      </c>
      <c r="Q6" s="13">
        <f>(1+Inputs!$C$47)^14</f>
        <v/>
      </c>
      <c r="R6" s="13">
        <f>(1+Inputs!$C$47)^15</f>
        <v/>
      </c>
      <c r="S6" s="13">
        <f>(1+Inputs!$C$47)^16</f>
        <v/>
      </c>
      <c r="T6" s="13">
        <f>(1+Inputs!$C$47)^17</f>
        <v/>
      </c>
      <c r="U6" s="13">
        <f>(1+Inputs!$C$47)^18</f>
        <v/>
      </c>
      <c r="V6" s="13">
        <f>(1+Inputs!$C$47)^19</f>
        <v/>
      </c>
    </row>
    <row r="7">
      <c r="B7" s="2" t="inlineStr">
        <is>
          <t>Unitary charge</t>
        </is>
      </c>
      <c r="C7" s="14">
        <f>Inputs!$C$46*C6</f>
        <v/>
      </c>
      <c r="D7" s="14">
        <f>Inputs!$C$46*D6</f>
        <v/>
      </c>
      <c r="E7" s="14">
        <f>Inputs!$C$46*E6</f>
        <v/>
      </c>
      <c r="F7" s="14">
        <f>Inputs!$C$46*F6</f>
        <v/>
      </c>
      <c r="G7" s="14">
        <f>Inputs!$C$46*G6</f>
        <v/>
      </c>
      <c r="H7" s="14">
        <f>Inputs!$C$46*H6</f>
        <v/>
      </c>
      <c r="I7" s="14">
        <f>Inputs!$C$46*I6</f>
        <v/>
      </c>
      <c r="J7" s="14">
        <f>Inputs!$C$46*J6</f>
        <v/>
      </c>
      <c r="K7" s="14">
        <f>Inputs!$C$46*K6</f>
        <v/>
      </c>
      <c r="L7" s="14">
        <f>Inputs!$C$46*L6</f>
        <v/>
      </c>
      <c r="M7" s="14">
        <f>Inputs!$C$46*M6</f>
        <v/>
      </c>
      <c r="N7" s="14">
        <f>Inputs!$C$46*N6</f>
        <v/>
      </c>
      <c r="O7" s="14">
        <f>Inputs!$C$46*O6</f>
        <v/>
      </c>
      <c r="P7" s="14">
        <f>Inputs!$C$46*P6</f>
        <v/>
      </c>
      <c r="Q7" s="14">
        <f>Inputs!$C$46*Q6</f>
        <v/>
      </c>
      <c r="R7" s="14">
        <f>Inputs!$C$46*R6</f>
        <v/>
      </c>
      <c r="S7" s="14">
        <f>Inputs!$C$46*S6</f>
        <v/>
      </c>
      <c r="T7" s="14">
        <f>Inputs!$C$46*T6</f>
        <v/>
      </c>
      <c r="U7" s="14">
        <f>Inputs!$C$46*U6</f>
        <v/>
      </c>
      <c r="V7" s="14">
        <f>Inputs!$C$46*V6</f>
        <v/>
      </c>
    </row>
    <row r="8">
      <c r="B8" s="2" t="inlineStr">
        <is>
          <t>Deductions</t>
        </is>
      </c>
      <c r="C8" s="19">
        <f>Inputs!$C$48</f>
        <v/>
      </c>
      <c r="D8" s="19">
        <f>Inputs!$C$49*D6</f>
        <v/>
      </c>
      <c r="E8" s="19">
        <f>Inputs!$C$49*E6</f>
        <v/>
      </c>
      <c r="F8" s="19">
        <f>Inputs!$C$49*F6</f>
        <v/>
      </c>
      <c r="G8" s="19">
        <f>Inputs!$C$49*G6</f>
        <v/>
      </c>
      <c r="H8" s="19">
        <f>Inputs!$C$49*H6</f>
        <v/>
      </c>
      <c r="I8" s="19">
        <f>Inputs!$C$49*I6</f>
        <v/>
      </c>
      <c r="J8" s="19">
        <f>Inputs!$C$49*J6</f>
        <v/>
      </c>
      <c r="K8" s="19">
        <f>Inputs!$C$49*K6</f>
        <v/>
      </c>
      <c r="L8" s="19">
        <f>Inputs!$C$49*L6</f>
        <v/>
      </c>
      <c r="M8" s="19">
        <f>Inputs!$C$49*M6</f>
        <v/>
      </c>
      <c r="N8" s="19">
        <f>Inputs!$C$49*N6</f>
        <v/>
      </c>
      <c r="O8" s="19">
        <f>Inputs!$C$49*O6</f>
        <v/>
      </c>
      <c r="P8" s="19">
        <f>Inputs!$C$49*P6</f>
        <v/>
      </c>
      <c r="Q8" s="19">
        <f>Inputs!$C$49*Q6</f>
        <v/>
      </c>
      <c r="R8" s="19">
        <f>Inputs!$C$49*R6</f>
        <v/>
      </c>
      <c r="S8" s="19">
        <f>Inputs!$C$49*S6</f>
        <v/>
      </c>
      <c r="T8" s="19">
        <f>Inputs!$C$49*T6</f>
        <v/>
      </c>
      <c r="U8" s="19">
        <f>Inputs!$C$49*U6</f>
        <v/>
      </c>
      <c r="V8" s="19">
        <f>Inputs!$C$49*V6</f>
        <v/>
      </c>
    </row>
    <row r="9">
      <c r="B9" s="2" t="inlineStr">
        <is>
          <t>Operating, maintenance and lifecycle costs</t>
        </is>
      </c>
      <c r="C9" s="14">
        <f>Inputs!$C$50*C6</f>
        <v/>
      </c>
      <c r="D9" s="14">
        <f>Inputs!$C$50*D6</f>
        <v/>
      </c>
      <c r="E9" s="14">
        <f>Inputs!$C$50*E6</f>
        <v/>
      </c>
      <c r="F9" s="14">
        <f>Inputs!$C$50*F6</f>
        <v/>
      </c>
      <c r="G9" s="14">
        <f>Inputs!$C$50*G6</f>
        <v/>
      </c>
      <c r="H9" s="14">
        <f>Inputs!$C$50*H6</f>
        <v/>
      </c>
      <c r="I9" s="14">
        <f>Inputs!$C$50*I6</f>
        <v/>
      </c>
      <c r="J9" s="14">
        <f>Inputs!$C$50*J6</f>
        <v/>
      </c>
      <c r="K9" s="14">
        <f>Inputs!$C$50*K6</f>
        <v/>
      </c>
      <c r="L9" s="14">
        <f>Inputs!$C$50*L6</f>
        <v/>
      </c>
      <c r="M9" s="14">
        <f>Inputs!$C$50*M6</f>
        <v/>
      </c>
      <c r="N9" s="14">
        <f>Inputs!$C$50*N6</f>
        <v/>
      </c>
      <c r="O9" s="14">
        <f>Inputs!$C$50*O6</f>
        <v/>
      </c>
      <c r="P9" s="14">
        <f>Inputs!$C$50*P6</f>
        <v/>
      </c>
      <c r="Q9" s="14">
        <f>Inputs!$C$50*Q6</f>
        <v/>
      </c>
      <c r="R9" s="14">
        <f>Inputs!$C$50*R6</f>
        <v/>
      </c>
      <c r="S9" s="14">
        <f>Inputs!$C$50*S6</f>
        <v/>
      </c>
      <c r="T9" s="14">
        <f>Inputs!$C$50*T6</f>
        <v/>
      </c>
      <c r="U9" s="14">
        <f>Inputs!$C$50*U6</f>
        <v/>
      </c>
      <c r="V9" s="14">
        <f>Inputs!$C$50*V6</f>
        <v/>
      </c>
    </row>
    <row r="10">
      <c r="B10" s="5" t="inlineStr">
        <is>
          <t>EBITDA</t>
        </is>
      </c>
      <c r="C10" s="15">
        <f>C7-C8-C9</f>
        <v/>
      </c>
      <c r="D10" s="15">
        <f>D7-D8-D9</f>
        <v/>
      </c>
      <c r="E10" s="15">
        <f>E7-E8-E9</f>
        <v/>
      </c>
      <c r="F10" s="15">
        <f>F7-F8-F9</f>
        <v/>
      </c>
      <c r="G10" s="15">
        <f>G7-G8-G9</f>
        <v/>
      </c>
      <c r="H10" s="15">
        <f>H7-H8-H9</f>
        <v/>
      </c>
      <c r="I10" s="15">
        <f>I7-I8-I9</f>
        <v/>
      </c>
      <c r="J10" s="15">
        <f>J7-J8-J9</f>
        <v/>
      </c>
      <c r="K10" s="15">
        <f>K7-K8-K9</f>
        <v/>
      </c>
      <c r="L10" s="15">
        <f>L7-L8-L9</f>
        <v/>
      </c>
      <c r="M10" s="15">
        <f>M7-M8-M9</f>
        <v/>
      </c>
      <c r="N10" s="15">
        <f>N7-N8-N9</f>
        <v/>
      </c>
      <c r="O10" s="15">
        <f>O7-O8-O9</f>
        <v/>
      </c>
      <c r="P10" s="15">
        <f>P7-P8-P9</f>
        <v/>
      </c>
      <c r="Q10" s="15">
        <f>Q7-Q8-Q9</f>
        <v/>
      </c>
      <c r="R10" s="15">
        <f>R7-R8-R9</f>
        <v/>
      </c>
      <c r="S10" s="15">
        <f>S7-S8-S9</f>
        <v/>
      </c>
      <c r="T10" s="15">
        <f>T7-T8-T9</f>
        <v/>
      </c>
      <c r="U10" s="15">
        <f>U7-U8-U9</f>
        <v/>
      </c>
      <c r="V10" s="15">
        <f>V7-V8-V9</f>
        <v/>
      </c>
    </row>
    <row r="11">
      <c r="B11" s="2" t="inlineStr">
        <is>
          <t>Opening debt</t>
        </is>
      </c>
      <c r="C11" s="14">
        <f>Inputs!$C$51</f>
        <v/>
      </c>
      <c r="D11" s="14">
        <f>C15</f>
        <v/>
      </c>
      <c r="E11" s="14">
        <f>D15</f>
        <v/>
      </c>
      <c r="F11" s="14">
        <f>E15</f>
        <v/>
      </c>
      <c r="G11" s="14">
        <f>F15</f>
        <v/>
      </c>
      <c r="H11" s="14">
        <f>G15</f>
        <v/>
      </c>
      <c r="I11" s="14">
        <f>H15</f>
        <v/>
      </c>
      <c r="J11" s="14">
        <f>I15</f>
        <v/>
      </c>
      <c r="K11" s="14">
        <f>J15</f>
        <v/>
      </c>
      <c r="L11" s="14">
        <f>K15</f>
        <v/>
      </c>
      <c r="M11" s="14">
        <f>L15</f>
        <v/>
      </c>
      <c r="N11" s="14">
        <f>M15</f>
        <v/>
      </c>
      <c r="O11" s="14">
        <f>N15</f>
        <v/>
      </c>
      <c r="P11" s="14">
        <f>O15</f>
        <v/>
      </c>
      <c r="Q11" s="14">
        <f>P15</f>
        <v/>
      </c>
      <c r="R11" s="14">
        <f>Q15</f>
        <v/>
      </c>
      <c r="S11" s="14">
        <f>R15</f>
        <v/>
      </c>
      <c r="T11" s="14">
        <f>S15</f>
        <v/>
      </c>
      <c r="U11" s="14">
        <f>T15</f>
        <v/>
      </c>
      <c r="V11" s="14">
        <f>U15</f>
        <v/>
      </c>
    </row>
    <row r="12">
      <c r="B12" s="2" t="inlineStr">
        <is>
          <t>Debt service</t>
        </is>
      </c>
      <c r="C12" s="19">
        <f>PMT(Inputs!$C$52,20,-Inputs!$C$51)</f>
        <v/>
      </c>
      <c r="D12" s="19">
        <f>PMT(Inputs!$C$52,20,-Inputs!$C$51)</f>
        <v/>
      </c>
      <c r="E12" s="19">
        <f>PMT(Inputs!$C$52,20,-Inputs!$C$51)</f>
        <v/>
      </c>
      <c r="F12" s="19">
        <f>PMT(Inputs!$C$52,20,-Inputs!$C$51)</f>
        <v/>
      </c>
      <c r="G12" s="19">
        <f>PMT(Inputs!$C$52,20,-Inputs!$C$51)</f>
        <v/>
      </c>
      <c r="H12" s="19">
        <f>PMT(Inputs!$C$52,20,-Inputs!$C$51)</f>
        <v/>
      </c>
      <c r="I12" s="19">
        <f>PMT(Inputs!$C$52,20,-Inputs!$C$51)</f>
        <v/>
      </c>
      <c r="J12" s="19">
        <f>PMT(Inputs!$C$52,20,-Inputs!$C$51)</f>
        <v/>
      </c>
      <c r="K12" s="19">
        <f>PMT(Inputs!$C$52,20,-Inputs!$C$51)</f>
        <v/>
      </c>
      <c r="L12" s="19">
        <f>PMT(Inputs!$C$52,20,-Inputs!$C$51)</f>
        <v/>
      </c>
      <c r="M12" s="19">
        <f>PMT(Inputs!$C$52,20,-Inputs!$C$51)</f>
        <v/>
      </c>
      <c r="N12" s="19">
        <f>PMT(Inputs!$C$52,20,-Inputs!$C$51)</f>
        <v/>
      </c>
      <c r="O12" s="19">
        <f>PMT(Inputs!$C$52,20,-Inputs!$C$51)</f>
        <v/>
      </c>
      <c r="P12" s="19">
        <f>PMT(Inputs!$C$52,20,-Inputs!$C$51)</f>
        <v/>
      </c>
      <c r="Q12" s="19">
        <f>PMT(Inputs!$C$52,20,-Inputs!$C$51)</f>
        <v/>
      </c>
      <c r="R12" s="19">
        <f>PMT(Inputs!$C$52,20,-Inputs!$C$51)</f>
        <v/>
      </c>
      <c r="S12" s="19">
        <f>PMT(Inputs!$C$52,20,-Inputs!$C$51)</f>
        <v/>
      </c>
      <c r="T12" s="19">
        <f>PMT(Inputs!$C$52,20,-Inputs!$C$51)</f>
        <v/>
      </c>
      <c r="U12" s="19">
        <f>PMT(Inputs!$C$52,20,-Inputs!$C$51)</f>
        <v/>
      </c>
      <c r="V12" s="19">
        <f>PMT(Inputs!$C$52,20,-Inputs!$C$51)</f>
        <v/>
      </c>
    </row>
    <row r="13">
      <c r="B13" s="2" t="inlineStr">
        <is>
          <t>Interest</t>
        </is>
      </c>
      <c r="C13" s="19">
        <f>C11*Inputs!$C$52</f>
        <v/>
      </c>
      <c r="D13" s="19">
        <f>D11*Inputs!$C$52</f>
        <v/>
      </c>
      <c r="E13" s="19">
        <f>E11*Inputs!$C$52</f>
        <v/>
      </c>
      <c r="F13" s="19">
        <f>F11*Inputs!$C$52</f>
        <v/>
      </c>
      <c r="G13" s="19">
        <f>G11*Inputs!$C$52</f>
        <v/>
      </c>
      <c r="H13" s="19">
        <f>H11*Inputs!$C$52</f>
        <v/>
      </c>
      <c r="I13" s="19">
        <f>I11*Inputs!$C$52</f>
        <v/>
      </c>
      <c r="J13" s="19">
        <f>J11*Inputs!$C$52</f>
        <v/>
      </c>
      <c r="K13" s="19">
        <f>K11*Inputs!$C$52</f>
        <v/>
      </c>
      <c r="L13" s="19">
        <f>L11*Inputs!$C$52</f>
        <v/>
      </c>
      <c r="M13" s="19">
        <f>M11*Inputs!$C$52</f>
        <v/>
      </c>
      <c r="N13" s="19">
        <f>N11*Inputs!$C$52</f>
        <v/>
      </c>
      <c r="O13" s="19">
        <f>O11*Inputs!$C$52</f>
        <v/>
      </c>
      <c r="P13" s="19">
        <f>P11*Inputs!$C$52</f>
        <v/>
      </c>
      <c r="Q13" s="19">
        <f>Q11*Inputs!$C$52</f>
        <v/>
      </c>
      <c r="R13" s="19">
        <f>R11*Inputs!$C$52</f>
        <v/>
      </c>
      <c r="S13" s="19">
        <f>S11*Inputs!$C$52</f>
        <v/>
      </c>
      <c r="T13" s="19">
        <f>T11*Inputs!$C$52</f>
        <v/>
      </c>
      <c r="U13" s="19">
        <f>U11*Inputs!$C$52</f>
        <v/>
      </c>
      <c r="V13" s="19">
        <f>V11*Inputs!$C$52</f>
        <v/>
      </c>
    </row>
    <row r="14">
      <c r="B14" s="2" t="inlineStr">
        <is>
          <t>Principal</t>
        </is>
      </c>
      <c r="C14" s="19">
        <f>C12-C13</f>
        <v/>
      </c>
      <c r="D14" s="19">
        <f>D12-D13</f>
        <v/>
      </c>
      <c r="E14" s="19">
        <f>E12-E13</f>
        <v/>
      </c>
      <c r="F14" s="19">
        <f>F12-F13</f>
        <v/>
      </c>
      <c r="G14" s="19">
        <f>G12-G13</f>
        <v/>
      </c>
      <c r="H14" s="19">
        <f>H12-H13</f>
        <v/>
      </c>
      <c r="I14" s="19">
        <f>I12-I13</f>
        <v/>
      </c>
      <c r="J14" s="19">
        <f>J12-J13</f>
        <v/>
      </c>
      <c r="K14" s="19">
        <f>K12-K13</f>
        <v/>
      </c>
      <c r="L14" s="19">
        <f>L12-L13</f>
        <v/>
      </c>
      <c r="M14" s="19">
        <f>M12-M13</f>
        <v/>
      </c>
      <c r="N14" s="19">
        <f>N12-N13</f>
        <v/>
      </c>
      <c r="O14" s="19">
        <f>O12-O13</f>
        <v/>
      </c>
      <c r="P14" s="19">
        <f>P12-P13</f>
        <v/>
      </c>
      <c r="Q14" s="19">
        <f>Q12-Q13</f>
        <v/>
      </c>
      <c r="R14" s="19">
        <f>R12-R13</f>
        <v/>
      </c>
      <c r="S14" s="19">
        <f>S12-S13</f>
        <v/>
      </c>
      <c r="T14" s="19">
        <f>T12-T13</f>
        <v/>
      </c>
      <c r="U14" s="19">
        <f>U12-U13</f>
        <v/>
      </c>
      <c r="V14" s="19">
        <f>V12-V13</f>
        <v/>
      </c>
    </row>
    <row r="15">
      <c r="B15" s="2" t="inlineStr">
        <is>
          <t>Closing debt</t>
        </is>
      </c>
      <c r="C15" s="14">
        <f>C11-C14</f>
        <v/>
      </c>
      <c r="D15" s="14">
        <f>D11-D14</f>
        <v/>
      </c>
      <c r="E15" s="14">
        <f>E11-E14</f>
        <v/>
      </c>
      <c r="F15" s="14">
        <f>F11-F14</f>
        <v/>
      </c>
      <c r="G15" s="14">
        <f>G11-G14</f>
        <v/>
      </c>
      <c r="H15" s="14">
        <f>H11-H14</f>
        <v/>
      </c>
      <c r="I15" s="14">
        <f>I11-I14</f>
        <v/>
      </c>
      <c r="J15" s="14">
        <f>J11-J14</f>
        <v/>
      </c>
      <c r="K15" s="14">
        <f>K11-K14</f>
        <v/>
      </c>
      <c r="L15" s="14">
        <f>L11-L14</f>
        <v/>
      </c>
      <c r="M15" s="14">
        <f>M11-M14</f>
        <v/>
      </c>
      <c r="N15" s="14">
        <f>N11-N14</f>
        <v/>
      </c>
      <c r="O15" s="14">
        <f>O11-O14</f>
        <v/>
      </c>
      <c r="P15" s="14">
        <f>P11-P14</f>
        <v/>
      </c>
      <c r="Q15" s="14">
        <f>Q11-Q14</f>
        <v/>
      </c>
      <c r="R15" s="14">
        <f>R11-R14</f>
        <v/>
      </c>
      <c r="S15" s="14">
        <f>S11-S14</f>
        <v/>
      </c>
      <c r="T15" s="14">
        <f>T11-T14</f>
        <v/>
      </c>
      <c r="U15" s="14">
        <f>U11-U14</f>
        <v/>
      </c>
      <c r="V15" s="14">
        <f>V11-V14</f>
        <v/>
      </c>
    </row>
    <row r="16">
      <c r="B16" s="2" t="inlineStr">
        <is>
          <t>Tax (illustrative)</t>
        </is>
      </c>
      <c r="C16" s="19">
        <f>MAX(0,Inputs!$C$21*(C10-Inputs!$C$53-C13))</f>
        <v/>
      </c>
      <c r="D16" s="19">
        <f>MAX(0,Inputs!$C$21*(D10-Inputs!$C$53-D13))</f>
        <v/>
      </c>
      <c r="E16" s="19">
        <f>MAX(0,Inputs!$C$21*(E10-Inputs!$C$53-E13))</f>
        <v/>
      </c>
      <c r="F16" s="19">
        <f>MAX(0,Inputs!$C$21*(F10-Inputs!$C$53-F13))</f>
        <v/>
      </c>
      <c r="G16" s="19">
        <f>MAX(0,Inputs!$C$21*(G10-Inputs!$C$53-G13))</f>
        <v/>
      </c>
      <c r="H16" s="19">
        <f>MAX(0,Inputs!$C$21*(H10-Inputs!$C$53-H13))</f>
        <v/>
      </c>
      <c r="I16" s="19">
        <f>MAX(0,Inputs!$C$21*(I10-Inputs!$C$53-I13))</f>
        <v/>
      </c>
      <c r="J16" s="19">
        <f>MAX(0,Inputs!$C$21*(J10-Inputs!$C$53-J13))</f>
        <v/>
      </c>
      <c r="K16" s="19">
        <f>MAX(0,Inputs!$C$21*(K10-Inputs!$C$53-K13))</f>
        <v/>
      </c>
      <c r="L16" s="19">
        <f>MAX(0,Inputs!$C$21*(L10-Inputs!$C$53-L13))</f>
        <v/>
      </c>
      <c r="M16" s="19">
        <f>MAX(0,Inputs!$C$21*(M10-Inputs!$C$53-M13))</f>
        <v/>
      </c>
      <c r="N16" s="19">
        <f>MAX(0,Inputs!$C$21*(N10-Inputs!$C$53-N13))</f>
        <v/>
      </c>
      <c r="O16" s="19">
        <f>MAX(0,Inputs!$C$21*(O10-Inputs!$C$53-O13))</f>
        <v/>
      </c>
      <c r="P16" s="19">
        <f>MAX(0,Inputs!$C$21*(P10-Inputs!$C$53-P13))</f>
        <v/>
      </c>
      <c r="Q16" s="19">
        <f>MAX(0,Inputs!$C$21*(Q10-Inputs!$C$53-Q13))</f>
        <v/>
      </c>
      <c r="R16" s="19">
        <f>MAX(0,Inputs!$C$21*(R10-Inputs!$C$53-R13))</f>
        <v/>
      </c>
      <c r="S16" s="19">
        <f>MAX(0,Inputs!$C$21*(S10-Inputs!$C$53-S13))</f>
        <v/>
      </c>
      <c r="T16" s="19">
        <f>MAX(0,Inputs!$C$21*(T10-Inputs!$C$53-T13))</f>
        <v/>
      </c>
      <c r="U16" s="19">
        <f>MAX(0,Inputs!$C$21*(U10-Inputs!$C$53-U13))</f>
        <v/>
      </c>
      <c r="V16" s="19">
        <f>MAX(0,Inputs!$C$21*(V10-Inputs!$C$53-V13))</f>
        <v/>
      </c>
    </row>
    <row r="17">
      <c r="B17" s="2" t="inlineStr">
        <is>
          <t>CFADS</t>
        </is>
      </c>
      <c r="C17" s="19">
        <f>C10-C16</f>
        <v/>
      </c>
      <c r="D17" s="19">
        <f>D10-D16</f>
        <v/>
      </c>
      <c r="E17" s="19">
        <f>E10-E16</f>
        <v/>
      </c>
      <c r="F17" s="19">
        <f>F10-F16</f>
        <v/>
      </c>
      <c r="G17" s="19">
        <f>G10-G16</f>
        <v/>
      </c>
      <c r="H17" s="19">
        <f>H10-H16</f>
        <v/>
      </c>
      <c r="I17" s="19">
        <f>I10-I16</f>
        <v/>
      </c>
      <c r="J17" s="19">
        <f>J10-J16</f>
        <v/>
      </c>
      <c r="K17" s="19">
        <f>K10-K16</f>
        <v/>
      </c>
      <c r="L17" s="19">
        <f>L10-L16</f>
        <v/>
      </c>
      <c r="M17" s="19">
        <f>M10-M16</f>
        <v/>
      </c>
      <c r="N17" s="19">
        <f>N10-N16</f>
        <v/>
      </c>
      <c r="O17" s="19">
        <f>O10-O16</f>
        <v/>
      </c>
      <c r="P17" s="19">
        <f>P10-P16</f>
        <v/>
      </c>
      <c r="Q17" s="19">
        <f>Q10-Q16</f>
        <v/>
      </c>
      <c r="R17" s="19">
        <f>R10-R16</f>
        <v/>
      </c>
      <c r="S17" s="19">
        <f>S10-S16</f>
        <v/>
      </c>
      <c r="T17" s="19">
        <f>T10-T16</f>
        <v/>
      </c>
      <c r="U17" s="19">
        <f>U10-U16</f>
        <v/>
      </c>
      <c r="V17" s="19">
        <f>V10-V16</f>
        <v/>
      </c>
    </row>
    <row r="18">
      <c r="B18" s="5" t="inlineStr">
        <is>
          <t>DSCR</t>
        </is>
      </c>
      <c r="C18" s="20">
        <f>C17/C12</f>
        <v/>
      </c>
      <c r="D18" s="20">
        <f>D17/D12</f>
        <v/>
      </c>
      <c r="E18" s="20">
        <f>E17/E12</f>
        <v/>
      </c>
      <c r="F18" s="20">
        <f>F17/F12</f>
        <v/>
      </c>
      <c r="G18" s="20">
        <f>G17/G12</f>
        <v/>
      </c>
      <c r="H18" s="20">
        <f>H17/H12</f>
        <v/>
      </c>
      <c r="I18" s="20">
        <f>I17/I12</f>
        <v/>
      </c>
      <c r="J18" s="20">
        <f>J17/J12</f>
        <v/>
      </c>
      <c r="K18" s="20">
        <f>K17/K12</f>
        <v/>
      </c>
      <c r="L18" s="20">
        <f>L17/L12</f>
        <v/>
      </c>
      <c r="M18" s="20">
        <f>M17/M12</f>
        <v/>
      </c>
      <c r="N18" s="20">
        <f>N17/N12</f>
        <v/>
      </c>
      <c r="O18" s="20">
        <f>O17/O12</f>
        <v/>
      </c>
      <c r="P18" s="20">
        <f>P17/P12</f>
        <v/>
      </c>
      <c r="Q18" s="20">
        <f>Q17/Q12</f>
        <v/>
      </c>
      <c r="R18" s="20">
        <f>R17/R12</f>
        <v/>
      </c>
      <c r="S18" s="20">
        <f>S17/S12</f>
        <v/>
      </c>
      <c r="T18" s="20">
        <f>T17/T12</f>
        <v/>
      </c>
      <c r="U18" s="20">
        <f>U17/U12</f>
        <v/>
      </c>
      <c r="V18" s="20">
        <f>V17/V12</f>
        <v/>
      </c>
    </row>
    <row r="19">
      <c r="B19" s="5" t="inlineStr">
        <is>
          <t>Distributed to the holding company</t>
        </is>
      </c>
      <c r="C19" s="21">
        <f>C17-C12</f>
        <v/>
      </c>
      <c r="D19" s="21">
        <f>D17-D12</f>
        <v/>
      </c>
      <c r="E19" s="21">
        <f>E17-E12</f>
        <v/>
      </c>
      <c r="F19" s="21">
        <f>F17-F12</f>
        <v/>
      </c>
      <c r="G19" s="21">
        <f>G17-G12</f>
        <v/>
      </c>
      <c r="H19" s="21">
        <f>H17-H12</f>
        <v/>
      </c>
      <c r="I19" s="21">
        <f>I17-I12</f>
        <v/>
      </c>
      <c r="J19" s="21">
        <f>J17-J12</f>
        <v/>
      </c>
      <c r="K19" s="21">
        <f>K17-K12</f>
        <v/>
      </c>
      <c r="L19" s="21">
        <f>L17-L12</f>
        <v/>
      </c>
      <c r="M19" s="21">
        <f>M17-M12</f>
        <v/>
      </c>
      <c r="N19" s="21">
        <f>N17-N12</f>
        <v/>
      </c>
      <c r="O19" s="21">
        <f>O17-O12</f>
        <v/>
      </c>
      <c r="P19" s="21">
        <f>P17-P12</f>
        <v/>
      </c>
      <c r="Q19" s="21">
        <f>Q17-Q12</f>
        <v/>
      </c>
      <c r="R19" s="21">
        <f>R17-R12</f>
        <v/>
      </c>
      <c r="S19" s="21">
        <f>S17-S12</f>
        <v/>
      </c>
      <c r="T19" s="21">
        <f>T17-T12</f>
        <v/>
      </c>
      <c r="U19" s="21">
        <f>U17-U12</f>
        <v/>
      </c>
      <c r="V19" s="21">
        <f>V17-V12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6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 ht="10" customHeight="1"/>
    <row r="2">
      <c r="B2" s="1" t="inlineStr">
        <is>
          <t>Holding company, refinancing, NAV, exit and returns (Chapters 3, 11, 12, 13, 15)</t>
        </is>
      </c>
      <c r="C2" s="3" t="n"/>
      <c r="D2" s="3" t="n"/>
      <c r="E2" s="3" t="n"/>
      <c r="F2" s="3" t="n"/>
      <c r="G2" s="3" t="n"/>
      <c r="H2" s="3" t="n"/>
      <c r="I2" s="3" t="n"/>
      <c r="J2" s="3" t="n"/>
    </row>
    <row r="4">
      <c r="B4" s="5" t="inlineStr">
        <is>
          <t>Entry, 31 December 2024</t>
        </is>
      </c>
    </row>
    <row r="5">
      <c r="B5" s="2" t="inlineStr">
        <is>
          <t>Water enterprise value (RAB x entry premium)</t>
        </is>
      </c>
      <c r="C5" s="14">
        <f>Inputs!$C$6*Inputs!$C$22</f>
        <v/>
      </c>
    </row>
    <row r="6">
      <c r="B6" s="2" t="inlineStr">
        <is>
          <t>Solar enterprise value</t>
        </is>
      </c>
      <c r="C6" s="14">
        <f>Inputs!$C$42</f>
        <v/>
      </c>
    </row>
    <row r="7">
      <c r="B7" s="2" t="inlineStr">
        <is>
          <t>Schools equity (NPV of equity cash flows)</t>
        </is>
      </c>
      <c r="C7" s="14">
        <f>NPV(Inputs!$C$54,Schools!C19:V19)</f>
        <v/>
      </c>
    </row>
    <row r="8">
      <c r="B8" s="2" t="inlineStr">
        <is>
          <t>Schools enterprise value</t>
        </is>
      </c>
      <c r="C8" s="14">
        <f>C7+C12</f>
        <v/>
      </c>
    </row>
    <row r="9">
      <c r="B9" s="2" t="inlineStr">
        <is>
          <t>Enterprise value</t>
        </is>
      </c>
      <c r="C9" s="22">
        <f>C5+C6+C8</f>
        <v/>
      </c>
    </row>
    <row r="10">
      <c r="B10" s="2" t="inlineStr">
        <is>
          <t>Water debt</t>
        </is>
      </c>
      <c r="C10" s="14">
        <f>Inputs!$C$18*Inputs!$C$6</f>
        <v/>
      </c>
    </row>
    <row r="11">
      <c r="B11" s="2" t="inlineStr">
        <is>
          <t>Solar debt</t>
        </is>
      </c>
      <c r="C11" s="14">
        <f>Inputs!$C$36</f>
        <v/>
      </c>
    </row>
    <row r="12">
      <c r="B12" s="2" t="inlineStr">
        <is>
          <t>Schools debt</t>
        </is>
      </c>
      <c r="C12" s="14">
        <f>Inputs!$C$51</f>
        <v/>
      </c>
    </row>
    <row r="13">
      <c r="B13" s="2" t="inlineStr">
        <is>
          <t>Holding company loan</t>
        </is>
      </c>
      <c r="C13" s="14">
        <f>Inputs!$C$56</f>
        <v/>
      </c>
    </row>
    <row r="14">
      <c r="B14" s="2" t="inlineStr">
        <is>
          <t>Total debt</t>
        </is>
      </c>
      <c r="C14" s="22">
        <f>SUM(C10:C13)</f>
        <v/>
      </c>
    </row>
    <row r="15">
      <c r="B15" s="2" t="inlineStr">
        <is>
          <t>Equity purchase price</t>
        </is>
      </c>
      <c r="C15" s="22">
        <f>C9-C14</f>
        <v/>
      </c>
    </row>
    <row r="16">
      <c r="B16" s="2" t="inlineStr">
        <is>
          <t>Equity invested (with transaction costs)</t>
        </is>
      </c>
      <c r="C16" s="22">
        <f>C15+Inputs!$C$64</f>
        <v/>
      </c>
    </row>
    <row r="17">
      <c r="B17" s="2" t="inlineStr">
        <is>
          <t>Share of Fund III commitments</t>
        </is>
      </c>
      <c r="C17" s="16">
        <f>C16/Inputs!$C$66</f>
        <v/>
      </c>
    </row>
    <row r="19">
      <c r="B19" s="4" t="inlineStr">
        <is>
          <t>$ million</t>
        </is>
      </c>
      <c r="C19" s="4" t="inlineStr">
        <is>
          <t>2025</t>
        </is>
      </c>
      <c r="D19" s="4" t="inlineStr">
        <is>
          <t>2026</t>
        </is>
      </c>
      <c r="E19" s="4" t="inlineStr">
        <is>
          <t>2027</t>
        </is>
      </c>
      <c r="F19" s="4" t="inlineStr">
        <is>
          <t>2028</t>
        </is>
      </c>
      <c r="G19" s="4" t="inlineStr">
        <is>
          <t>2029</t>
        </is>
      </c>
      <c r="H19" s="4" t="inlineStr">
        <is>
          <t>2030</t>
        </is>
      </c>
      <c r="I19" s="4" t="inlineStr">
        <is>
          <t>2031</t>
        </is>
      </c>
    </row>
    <row r="20">
      <c r="B20" s="2" t="inlineStr">
        <is>
          <t>Year</t>
        </is>
      </c>
      <c r="C20" s="18" t="n">
        <v>2025</v>
      </c>
      <c r="D20" s="18" t="n">
        <v>2026</v>
      </c>
      <c r="E20" s="18" t="n">
        <v>2027</v>
      </c>
      <c r="F20" s="18" t="n">
        <v>2028</v>
      </c>
      <c r="G20" s="18" t="n">
        <v>2029</v>
      </c>
      <c r="H20" s="18" t="n">
        <v>2030</v>
      </c>
      <c r="I20" s="18" t="n">
        <v>2031</v>
      </c>
    </row>
    <row r="21">
      <c r="B21" s="2" t="inlineStr">
        <is>
          <t>Water distributions</t>
        </is>
      </c>
      <c r="C21" s="14">
        <f>Water!C23</f>
        <v/>
      </c>
      <c r="D21" s="14">
        <f>Water!D23</f>
        <v/>
      </c>
      <c r="E21" s="14">
        <f>Water!E23</f>
        <v/>
      </c>
      <c r="F21" s="14">
        <f>Water!F23</f>
        <v/>
      </c>
      <c r="G21" s="14">
        <f>Water!G23</f>
        <v/>
      </c>
      <c r="H21" s="14">
        <f>Water!H23</f>
        <v/>
      </c>
      <c r="I21" s="14">
        <f>Water!I23</f>
        <v/>
      </c>
    </row>
    <row r="22">
      <c r="B22" s="2" t="inlineStr">
        <is>
          <t>Solar distributions</t>
        </is>
      </c>
      <c r="C22" s="14">
        <f>Solar!C23</f>
        <v/>
      </c>
      <c r="D22" s="14">
        <f>Solar!D23</f>
        <v/>
      </c>
      <c r="E22" s="14">
        <f>Solar!E23</f>
        <v/>
      </c>
      <c r="F22" s="14">
        <f>Solar!F23</f>
        <v/>
      </c>
      <c r="G22" s="14">
        <f>Solar!G23</f>
        <v/>
      </c>
      <c r="H22" s="14">
        <f>Solar!H23</f>
        <v/>
      </c>
      <c r="I22" s="14">
        <f>Solar!I23</f>
        <v/>
      </c>
    </row>
    <row r="23">
      <c r="B23" s="2" t="inlineStr">
        <is>
          <t>Schools distributions</t>
        </is>
      </c>
      <c r="C23" s="14">
        <f>Schools!C19</f>
        <v/>
      </c>
      <c r="D23" s="14">
        <f>Schools!D19</f>
        <v/>
      </c>
      <c r="E23" s="14">
        <f>Schools!E19</f>
        <v/>
      </c>
      <c r="F23" s="14">
        <f>Schools!F19</f>
        <v/>
      </c>
      <c r="G23" s="14">
        <f>Schools!G19</f>
        <v/>
      </c>
      <c r="H23" s="14">
        <f>Schools!H19</f>
        <v/>
      </c>
      <c r="I23" s="14">
        <f>Schools!I19</f>
        <v/>
      </c>
    </row>
    <row r="24">
      <c r="B24" s="2" t="inlineStr">
        <is>
          <t>Cash up from the businesses</t>
        </is>
      </c>
      <c r="C24" s="14">
        <f>SUM(C21:C23)</f>
        <v/>
      </c>
      <c r="D24" s="14">
        <f>SUM(D21:D23)</f>
        <v/>
      </c>
      <c r="E24" s="14">
        <f>SUM(E21:E23)</f>
        <v/>
      </c>
      <c r="F24" s="14">
        <f>SUM(F21:F23)</f>
        <v/>
      </c>
      <c r="G24" s="14">
        <f>SUM(G21:G23)</f>
        <v/>
      </c>
      <c r="H24" s="14">
        <f>SUM(H21:H23)</f>
        <v/>
      </c>
      <c r="I24" s="14">
        <f>SUM(I21:I23)</f>
        <v/>
      </c>
    </row>
    <row r="25">
      <c r="B25" s="2" t="inlineStr">
        <is>
          <t>Holding company interest</t>
        </is>
      </c>
      <c r="C25" s="14">
        <f>IF(C20&lt;Inputs!$C$58,Inputs!$C$56*Inputs!$C$57,IF(C20=Inputs!$C$58,Inputs!$C$56*Inputs!$C$57/2+Inputs!$C$59*Inputs!$C$60/2,Inputs!$C$59*Inputs!$C$60))</f>
        <v/>
      </c>
      <c r="D25" s="14">
        <f>IF(D20&lt;Inputs!$C$58,Inputs!$C$56*Inputs!$C$57,IF(D20=Inputs!$C$58,Inputs!$C$56*Inputs!$C$57/2+Inputs!$C$59*Inputs!$C$60/2,Inputs!$C$59*Inputs!$C$60))</f>
        <v/>
      </c>
      <c r="E25" s="14">
        <f>IF(E20&lt;Inputs!$C$58,Inputs!$C$56*Inputs!$C$57,IF(E20=Inputs!$C$58,Inputs!$C$56*Inputs!$C$57/2+Inputs!$C$59*Inputs!$C$60/2,Inputs!$C$59*Inputs!$C$60))</f>
        <v/>
      </c>
      <c r="F25" s="14">
        <f>IF(F20&lt;Inputs!$C$58,Inputs!$C$56*Inputs!$C$57,IF(F20=Inputs!$C$58,Inputs!$C$56*Inputs!$C$57/2+Inputs!$C$59*Inputs!$C$60/2,Inputs!$C$59*Inputs!$C$60))</f>
        <v/>
      </c>
      <c r="G25" s="14">
        <f>IF(G20&lt;Inputs!$C$58,Inputs!$C$56*Inputs!$C$57,IF(G20=Inputs!$C$58,Inputs!$C$56*Inputs!$C$57/2+Inputs!$C$59*Inputs!$C$60/2,Inputs!$C$59*Inputs!$C$60))</f>
        <v/>
      </c>
      <c r="H25" s="14">
        <f>IF(H20&lt;Inputs!$C$58,Inputs!$C$56*Inputs!$C$57,IF(H20=Inputs!$C$58,Inputs!$C$56*Inputs!$C$57/2+Inputs!$C$59*Inputs!$C$60/2,Inputs!$C$59*Inputs!$C$60))</f>
        <v/>
      </c>
      <c r="I25" s="14">
        <f>IF(I20&lt;Inputs!$C$58,Inputs!$C$56*Inputs!$C$57,IF(I20=Inputs!$C$58,Inputs!$C$56*Inputs!$C$57/2+Inputs!$C$59*Inputs!$C$60/2,Inputs!$C$59*Inputs!$C$60))</f>
        <v/>
      </c>
    </row>
    <row r="26">
      <c r="B26" s="2" t="inlineStr">
        <is>
          <t>Holding company costs</t>
        </is>
      </c>
      <c r="C26" s="14">
        <f>Inputs!$C$62</f>
        <v/>
      </c>
      <c r="D26" s="14">
        <f>Inputs!$C$62</f>
        <v/>
      </c>
      <c r="E26" s="14">
        <f>Inputs!$C$62</f>
        <v/>
      </c>
      <c r="F26" s="14">
        <f>Inputs!$C$62</f>
        <v/>
      </c>
      <c r="G26" s="14">
        <f>Inputs!$C$62</f>
        <v/>
      </c>
      <c r="H26" s="14">
        <f>Inputs!$C$62</f>
        <v/>
      </c>
      <c r="I26" s="14">
        <f>Inputs!$C$62</f>
        <v/>
      </c>
    </row>
    <row r="27">
      <c r="B27" s="5" t="inlineStr">
        <is>
          <t>Interest cover (cash up / interest)</t>
        </is>
      </c>
      <c r="C27" s="20">
        <f>C24/C25</f>
        <v/>
      </c>
      <c r="D27" s="20">
        <f>D24/D25</f>
        <v/>
      </c>
      <c r="E27" s="20">
        <f>E24/E25</f>
        <v/>
      </c>
      <c r="F27" s="20">
        <f>F24/F25</f>
        <v/>
      </c>
      <c r="G27" s="20">
        <f>G24/G25</f>
        <v/>
      </c>
      <c r="H27" s="20">
        <f>H24/H25</f>
        <v/>
      </c>
      <c r="I27" s="20">
        <f>I24/I25</f>
        <v/>
      </c>
    </row>
    <row r="28">
      <c r="B28" s="2" t="inlineStr">
        <is>
          <t>Covenant test</t>
        </is>
      </c>
      <c r="C28" s="2">
        <f>IF(C27&gt;=Inputs!$C$63,"OK","BREACH")</f>
        <v/>
      </c>
      <c r="D28" s="2">
        <f>IF(D27&gt;=Inputs!$C$63,"OK","BREACH")</f>
        <v/>
      </c>
      <c r="E28" s="2">
        <f>IF(E27&gt;=Inputs!$C$63,"OK","BREACH")</f>
        <v/>
      </c>
      <c r="F28" s="2">
        <f>IF(F27&gt;=Inputs!$C$63,"OK","BREACH")</f>
        <v/>
      </c>
      <c r="G28" s="2">
        <f>IF(G27&gt;=Inputs!$C$63,"OK","BREACH")</f>
        <v/>
      </c>
      <c r="H28" s="2">
        <f>IF(H27&gt;=Inputs!$C$63,"OK","BREACH")</f>
        <v/>
      </c>
      <c r="I28" s="2">
        <f>IF(I27&gt;=Inputs!$C$63,"OK","BREACH")</f>
        <v/>
      </c>
    </row>
    <row r="29">
      <c r="B29" s="2" t="inlineStr">
        <is>
          <t>Holding company loan at year end</t>
        </is>
      </c>
      <c r="C29" s="14">
        <f>IF(C20&lt;Inputs!$C$58,Inputs!$C$56,Inputs!$C$59)</f>
        <v/>
      </c>
      <c r="D29" s="14">
        <f>IF(D20&lt;Inputs!$C$58,Inputs!$C$56,Inputs!$C$59)</f>
        <v/>
      </c>
      <c r="E29" s="14">
        <f>IF(E20&lt;Inputs!$C$58,Inputs!$C$56,Inputs!$C$59)</f>
        <v/>
      </c>
      <c r="F29" s="14">
        <f>IF(F20&lt;Inputs!$C$58,Inputs!$C$56,Inputs!$C$59)</f>
        <v/>
      </c>
      <c r="G29" s="14">
        <f>IF(G20&lt;Inputs!$C$58,Inputs!$C$56,Inputs!$C$59)</f>
        <v/>
      </c>
      <c r="H29" s="14">
        <f>IF(H20&lt;Inputs!$C$58,Inputs!$C$56,Inputs!$C$59)</f>
        <v/>
      </c>
      <c r="I29" s="14">
        <f>IF(I20&lt;Inputs!$C$58,Inputs!$C$56,Inputs!$C$59)</f>
        <v/>
      </c>
    </row>
    <row r="30">
      <c r="B30" s="2" t="inlineStr">
        <is>
          <t>Recapitalization paid to Fund III</t>
        </is>
      </c>
      <c r="C30" s="14">
        <f>IF(C20=Inputs!$C$58,Inputs!$C$59-Inputs!$C$56-Inputs!$C$61,0)</f>
        <v/>
      </c>
      <c r="D30" s="14">
        <f>IF(D20=Inputs!$C$58,Inputs!$C$59-Inputs!$C$56-Inputs!$C$61,0)</f>
        <v/>
      </c>
      <c r="E30" s="14">
        <f>IF(E20=Inputs!$C$58,Inputs!$C$59-Inputs!$C$56-Inputs!$C$61,0)</f>
        <v/>
      </c>
      <c r="F30" s="14">
        <f>IF(F20=Inputs!$C$58,Inputs!$C$59-Inputs!$C$56-Inputs!$C$61,0)</f>
        <v/>
      </c>
      <c r="G30" s="14">
        <f>IF(G20=Inputs!$C$58,Inputs!$C$59-Inputs!$C$56-Inputs!$C$61,0)</f>
        <v/>
      </c>
      <c r="H30" s="14">
        <f>IF(H20=Inputs!$C$58,Inputs!$C$59-Inputs!$C$56-Inputs!$C$61,0)</f>
        <v/>
      </c>
      <c r="I30" s="14">
        <f>IF(I20=Inputs!$C$58,Inputs!$C$59-Inputs!$C$56-Inputs!$C$61,0)</f>
        <v/>
      </c>
    </row>
    <row r="31">
      <c r="B31" s="5" t="inlineStr">
        <is>
          <t>Cash to Fund III</t>
        </is>
      </c>
      <c r="C31" s="15">
        <f>C24-C25-C26+C30</f>
        <v/>
      </c>
      <c r="D31" s="15">
        <f>D24-D25-D26+D30</f>
        <v/>
      </c>
      <c r="E31" s="15">
        <f>E24-E25-E26+E30</f>
        <v/>
      </c>
      <c r="F31" s="15">
        <f>F24-F25-F26+F30</f>
        <v/>
      </c>
      <c r="G31" s="15">
        <f>G24-G25-G26+G30</f>
        <v/>
      </c>
      <c r="H31" s="15">
        <f>H24-H25-H26+H30</f>
        <v/>
      </c>
      <c r="I31" s="15">
        <f>I24-I25-I26+I30</f>
        <v/>
      </c>
      <c r="J31" s="22">
        <f>SUM(C31:I31)</f>
        <v/>
      </c>
    </row>
    <row r="32">
      <c r="B32" s="2" t="inlineStr">
        <is>
          <t>Ordinary cash yield on equity invested</t>
        </is>
      </c>
      <c r="C32" s="16">
        <f>(C31-C30)/$C$16</f>
        <v/>
      </c>
      <c r="D32" s="16">
        <f>(D31-D30)/$C$16</f>
        <v/>
      </c>
      <c r="E32" s="16">
        <f>(E31-E30)/$C$16</f>
        <v/>
      </c>
      <c r="F32" s="16">
        <f>(F31-F30)/$C$16</f>
        <v/>
      </c>
      <c r="G32" s="16">
        <f>(G31-G30)/$C$16</f>
        <v/>
      </c>
      <c r="H32" s="16">
        <f>(H31-H30)/$C$16</f>
        <v/>
      </c>
      <c r="I32" s="16">
        <f>(I31-I30)/$C$16</f>
        <v/>
      </c>
    </row>
    <row r="34">
      <c r="B34" s="5" t="inlineStr">
        <is>
          <t>Quarterly NAV convention, year end (equity value)</t>
        </is>
      </c>
    </row>
    <row r="35">
      <c r="B35" s="4" t="inlineStr"/>
      <c r="C35" s="4" t="inlineStr">
        <is>
          <t>2025</t>
        </is>
      </c>
      <c r="D35" s="4" t="inlineStr">
        <is>
          <t>2026</t>
        </is>
      </c>
    </row>
    <row r="36">
      <c r="B36" s="2" t="inlineStr">
        <is>
          <t>Water (RAB x entry premium, less debt)</t>
        </is>
      </c>
      <c r="C36" s="14">
        <f>Water!C10*Inputs!$C$22-Water!C20</f>
        <v/>
      </c>
      <c r="D36" s="14">
        <f>Water!D10*Inputs!$C$22-Water!D20</f>
        <v/>
      </c>
    </row>
    <row r="37">
      <c r="B37" s="2" t="inlineStr">
        <is>
          <t>Solar (EBITDA multiple, normalized in the outage year, less debt)</t>
        </is>
      </c>
      <c r="C37" s="14">
        <f>Inputs!$C$43*IF(2025=Inputs!$C$28,Solar!C8/(1-Inputs!$C$29)-Solar!C10,Solar!C11)-Solar!C16</f>
        <v/>
      </c>
      <c r="D37" s="14">
        <f>Inputs!$C$43*IF(2026=Inputs!$C$28,Solar!D8/(1-Inputs!$C$29)-Solar!D10,Solar!D11)-Solar!D16</f>
        <v/>
      </c>
    </row>
    <row r="38">
      <c r="B38" s="2" t="inlineStr">
        <is>
          <t>Schools (NPV of later equity cash flows)</t>
        </is>
      </c>
      <c r="C38" s="14">
        <f>NPV(Inputs!$C$54,Schools!D19:V19)</f>
        <v/>
      </c>
      <c r="D38" s="14">
        <f>NPV(Inputs!$C$54,Schools!E19:V19)</f>
        <v/>
      </c>
    </row>
    <row r="39">
      <c r="B39" s="2" t="inlineStr">
        <is>
          <t>Holding company loan</t>
        </is>
      </c>
      <c r="C39" s="14">
        <f>-C29</f>
        <v/>
      </c>
      <c r="D39" s="14">
        <f>-D29</f>
        <v/>
      </c>
    </row>
    <row r="40">
      <c r="B40" s="2" t="inlineStr">
        <is>
          <t>Equity value</t>
        </is>
      </c>
      <c r="C40" s="22">
        <f>SUM(C36:C39)</f>
        <v/>
      </c>
      <c r="D40" s="22">
        <f>SUM(D36:D39)</f>
        <v/>
      </c>
    </row>
    <row r="41">
      <c r="B41" s="2" t="inlineStr">
        <is>
          <t>Total value to paid-in</t>
        </is>
      </c>
      <c r="C41" s="17">
        <f>(C40+SUM($C31:C31))/$C$16</f>
        <v/>
      </c>
      <c r="D41" s="17">
        <f>(D40+SUM($C31:D31))/$C$16</f>
        <v/>
      </c>
    </row>
    <row r="43">
      <c r="B43" s="5" t="inlineStr">
        <is>
          <t>Exit, 31 December 2031 (assumption)</t>
        </is>
      </c>
    </row>
    <row r="44">
      <c r="B44" s="2" t="inlineStr">
        <is>
          <t>Water (RAB 2031 x exit premium)</t>
        </is>
      </c>
      <c r="C44" s="14">
        <f>Water!I10*Inputs!$C$23</f>
        <v/>
      </c>
    </row>
    <row r="45">
      <c r="B45" s="2" t="inlineStr">
        <is>
          <t>Solar (exit multiple x 2031 EBITDA)</t>
        </is>
      </c>
      <c r="C45" s="14">
        <f>Inputs!$C$44*Solar!I11</f>
        <v/>
      </c>
    </row>
    <row r="46">
      <c r="B46" s="2" t="inlineStr">
        <is>
          <t>Schools (NPV of 2032 to 2044 equity flows plus debt)</t>
        </is>
      </c>
      <c r="C46" s="14">
        <f>NPV(Inputs!$C$54,Schools!J19:V19)+Schools!I15</f>
        <v/>
      </c>
    </row>
    <row r="47">
      <c r="B47" s="2" t="inlineStr">
        <is>
          <t>Enterprise value at exit</t>
        </is>
      </c>
      <c r="C47" s="22">
        <f>SUM(C44:C46)</f>
        <v/>
      </c>
    </row>
    <row r="48">
      <c r="B48" s="2" t="inlineStr">
        <is>
          <t>Less water debt</t>
        </is>
      </c>
      <c r="C48" s="14">
        <f>-Water!I20</f>
        <v/>
      </c>
    </row>
    <row r="49">
      <c r="B49" s="2" t="inlineStr">
        <is>
          <t>Less solar debt</t>
        </is>
      </c>
      <c r="C49" s="14">
        <f>-Solar!I16</f>
        <v/>
      </c>
    </row>
    <row r="50">
      <c r="B50" s="2" t="inlineStr">
        <is>
          <t>Less schools debt</t>
        </is>
      </c>
      <c r="C50" s="14">
        <f>-Schools!I15</f>
        <v/>
      </c>
    </row>
    <row r="51">
      <c r="B51" s="2" t="inlineStr">
        <is>
          <t>Less holding company loan</t>
        </is>
      </c>
      <c r="C51" s="14">
        <f>-I29</f>
        <v/>
      </c>
    </row>
    <row r="52">
      <c r="B52" s="2" t="inlineStr">
        <is>
          <t>Equity value at exit</t>
        </is>
      </c>
      <c r="C52" s="22">
        <f>C47+SUM(C48:C51)</f>
        <v/>
      </c>
    </row>
    <row r="53">
      <c r="B53" s="2" t="inlineStr">
        <is>
          <t>Less sale costs</t>
        </is>
      </c>
      <c r="C53" s="14">
        <f>-Inputs!$C$65*C47</f>
        <v/>
      </c>
    </row>
    <row r="54">
      <c r="B54" s="2" t="inlineStr">
        <is>
          <t>Net equity proceeds</t>
        </is>
      </c>
      <c r="C54" s="22">
        <f>C52+C53</f>
        <v/>
      </c>
    </row>
    <row r="56">
      <c r="B56" s="5" t="inlineStr">
        <is>
          <t>Fund III returns on Aldmere (gross, annual flows at year end)</t>
        </is>
      </c>
    </row>
    <row r="57">
      <c r="B57" s="4" t="inlineStr">
        <is>
          <t>Flow</t>
        </is>
      </c>
      <c r="C57" s="4" t="inlineStr">
        <is>
          <t>2024</t>
        </is>
      </c>
      <c r="D57" s="4" t="inlineStr">
        <is>
          <t>2025</t>
        </is>
      </c>
      <c r="E57" s="4" t="inlineStr">
        <is>
          <t>2026</t>
        </is>
      </c>
      <c r="F57" s="4" t="inlineStr">
        <is>
          <t>2027</t>
        </is>
      </c>
      <c r="G57" s="4" t="inlineStr">
        <is>
          <t>2028</t>
        </is>
      </c>
      <c r="H57" s="4" t="inlineStr">
        <is>
          <t>2029</t>
        </is>
      </c>
      <c r="I57" s="4" t="inlineStr">
        <is>
          <t>2030</t>
        </is>
      </c>
      <c r="J57" s="4" t="inlineStr">
        <is>
          <t>2031</t>
        </is>
      </c>
    </row>
    <row r="58">
      <c r="B58" s="2" t="inlineStr">
        <is>
          <t>Cash flow to and from Fund III</t>
        </is>
      </c>
      <c r="C58" s="14">
        <f>-C16</f>
        <v/>
      </c>
      <c r="D58" s="14">
        <f>C31</f>
        <v/>
      </c>
      <c r="E58" s="14">
        <f>D31</f>
        <v/>
      </c>
      <c r="F58" s="14">
        <f>E31</f>
        <v/>
      </c>
      <c r="G58" s="14">
        <f>F31</f>
        <v/>
      </c>
      <c r="H58" s="14">
        <f>G31</f>
        <v/>
      </c>
      <c r="I58" s="14">
        <f>H31</f>
        <v/>
      </c>
      <c r="J58" s="14">
        <f>I31+C54</f>
        <v/>
      </c>
    </row>
    <row r="59">
      <c r="B59" s="2" t="inlineStr">
        <is>
          <t>Total returned</t>
        </is>
      </c>
      <c r="C59" s="22">
        <f>J31+C54</f>
        <v/>
      </c>
    </row>
    <row r="60">
      <c r="B60" s="2" t="inlineStr">
        <is>
          <t>Multiple of invested capital</t>
        </is>
      </c>
      <c r="C60" s="20">
        <f>C59/C16</f>
        <v/>
      </c>
    </row>
    <row r="61">
      <c r="B61" s="2" t="inlineStr">
        <is>
          <t>IRR</t>
        </is>
      </c>
      <c r="C61" s="23">
        <f>IRR(C58:J58)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E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4" customWidth="1" min="2" max="2"/>
    <col width="14" customWidth="1" min="3" max="3"/>
    <col width="14" customWidth="1" min="4" max="4"/>
    <col width="10" customWidth="1" min="5" max="5"/>
  </cols>
  <sheetData>
    <row r="1" ht="10" customHeight="1"/>
    <row r="2">
      <c r="B2" s="1" t="inlineStr">
        <is>
          <t>Checks: figures printed in the book against the formulas</t>
        </is>
      </c>
      <c r="C2" s="3" t="n"/>
      <c r="D2" s="3" t="n"/>
      <c r="E2" s="3" t="n"/>
    </row>
    <row r="4">
      <c r="B4" s="4" t="inlineStr">
        <is>
          <t>Figure in the book</t>
        </is>
      </c>
      <c r="C4" s="4" t="inlineStr">
        <is>
          <t>Book</t>
        </is>
      </c>
      <c r="D4" s="4" t="inlineStr">
        <is>
          <t>Workbook</t>
        </is>
      </c>
      <c r="E4" s="4" t="inlineStr">
        <is>
          <t>OK?</t>
        </is>
      </c>
    </row>
    <row r="5">
      <c r="B5" s="2" t="inlineStr">
        <is>
          <t>Enterprise value at entry ($m)</t>
        </is>
      </c>
      <c r="C5" s="24" t="n">
        <v>1436</v>
      </c>
      <c r="D5" s="24">
        <f>'Holdco and Returns'!C9</f>
        <v/>
      </c>
      <c r="E5" s="2">
        <f>IF(ABS(D5-C5)&lt;=0.5,"OK","CHECK")</f>
        <v/>
      </c>
    </row>
    <row r="6">
      <c r="B6" s="2" t="inlineStr">
        <is>
          <t>Equity invested by Fund III ($m)</t>
        </is>
      </c>
      <c r="C6" s="24" t="n">
        <v>436.1</v>
      </c>
      <c r="D6" s="24">
        <f>'Holdco and Returns'!C16</f>
        <v/>
      </c>
      <c r="E6" s="2">
        <f>IF(ABS(D6-C6)&lt;=0.05,"OK","CHECK")</f>
        <v/>
      </c>
    </row>
    <row r="7">
      <c r="B7" s="2" t="inlineStr">
        <is>
          <t>Schools equity at entry ($m)</t>
        </is>
      </c>
      <c r="C7" s="24" t="n">
        <v>99.09999999999999</v>
      </c>
      <c r="D7" s="24">
        <f>'Holdco and Returns'!C7</f>
        <v/>
      </c>
      <c r="E7" s="2">
        <f>IF(ABS(D7-C7)&lt;=0.05,"OK","CHECK")</f>
        <v/>
      </c>
    </row>
    <row r="8">
      <c r="B8" s="2" t="inlineStr">
        <is>
          <t>Aldmere Water closing RAB 2025 ($m)</t>
        </is>
      </c>
      <c r="C8" s="24" t="n">
        <v>950</v>
      </c>
      <c r="D8" s="24">
        <f>Water!C10</f>
        <v/>
      </c>
      <c r="E8" s="2">
        <f>IF(ABS(D8-C8)&lt;=0.5,"OK","CHECK")</f>
        <v/>
      </c>
    </row>
    <row r="9">
      <c r="B9" s="2" t="inlineStr">
        <is>
          <t>Aldmere Water EBITDA 2025 ($m)</t>
        </is>
      </c>
      <c r="C9" s="24" t="n">
        <v>56.8</v>
      </c>
      <c r="D9" s="24">
        <f>Water!C18</f>
        <v/>
      </c>
      <c r="E9" s="2">
        <f>IF(ABS(D9-C9)&lt;=0.05,"OK","CHECK")</f>
        <v/>
      </c>
    </row>
    <row r="10">
      <c r="B10" s="2" t="inlineStr">
        <is>
          <t>Aldmere Water RAB end 2031 ($m)</t>
        </is>
      </c>
      <c r="C10" s="24" t="n">
        <v>1310</v>
      </c>
      <c r="D10" s="24">
        <f>Water!I10</f>
        <v/>
      </c>
      <c r="E10" s="2">
        <f>IF(ABS(D10-C10)&lt;=0.5,"OK","CHECK")</f>
        <v/>
      </c>
    </row>
    <row r="11">
      <c r="B11" s="2" t="inlineStr">
        <is>
          <t>Aldmere Water distributed 2025 ($m)</t>
        </is>
      </c>
      <c r="C11" s="24" t="n">
        <v>6.8</v>
      </c>
      <c r="D11" s="24">
        <f>Water!C23</f>
        <v/>
      </c>
      <c r="E11" s="2">
        <f>IF(ABS(D11-C11)&lt;=0.05,"OK","CHECK")</f>
        <v/>
      </c>
    </row>
    <row r="12">
      <c r="B12" s="2" t="inlineStr">
        <is>
          <t>Opex overrun 2025 ($m)</t>
        </is>
      </c>
      <c r="C12" s="24" t="n">
        <v>0.9</v>
      </c>
      <c r="D12" s="24">
        <f>Water!C29</f>
        <v/>
      </c>
      <c r="E12" s="2">
        <f>IF(ABS(D12-C12)&lt;=0.05,"OK","CHECK")</f>
        <v/>
      </c>
    </row>
    <row r="13">
      <c r="B13" s="2" t="inlineStr">
        <is>
          <t>Capex underspend 2025 ($m)</t>
        </is>
      </c>
      <c r="C13" s="24" t="n">
        <v>7</v>
      </c>
      <c r="D13" s="24">
        <f>Water!C30</f>
        <v/>
      </c>
      <c r="E13" s="2">
        <f>IF(ABS(D13-C13)&lt;=0.05,"OK","CHECK")</f>
        <v/>
      </c>
    </row>
    <row r="14">
      <c r="B14" s="2" t="inlineStr">
        <is>
          <t>Aldmere Solar EBITDA 2025 ($m)</t>
        </is>
      </c>
      <c r="C14" s="24" t="n">
        <v>20.5</v>
      </c>
      <c r="D14" s="24">
        <f>Solar!C11</f>
        <v/>
      </c>
      <c r="E14" s="2">
        <f>IF(ABS(D14-C14)&lt;=0.05,"OK","CHECK")</f>
        <v/>
      </c>
    </row>
    <row r="15">
      <c r="B15" s="2" t="inlineStr">
        <is>
          <t>Aldmere Solar DSCR 2026</t>
        </is>
      </c>
      <c r="C15" s="24" t="n">
        <v>1.18</v>
      </c>
      <c r="D15" s="24">
        <f>Solar!D19</f>
        <v/>
      </c>
      <c r="E15" s="2">
        <f>IF(ABS(D15-C15)&lt;=0.005,"OK","CHECK")</f>
        <v/>
      </c>
    </row>
    <row r="16">
      <c r="B16" s="2" t="inlineStr">
        <is>
          <t>Cash trapped at Aldmere Solar in 2026 ($m)</t>
        </is>
      </c>
      <c r="C16" s="24" t="n">
        <v>2.6</v>
      </c>
      <c r="D16" s="24">
        <f>Solar!D22</f>
        <v/>
      </c>
      <c r="E16" s="2">
        <f>IF(ABS(D16-C16)&lt;=0.05,"OK","CHECK")</f>
        <v/>
      </c>
    </row>
    <row r="17">
      <c r="B17" s="2" t="inlineStr">
        <is>
          <t>Aldmere Solar distributed 2027 ($m)</t>
        </is>
      </c>
      <c r="C17" s="24" t="n">
        <v>9.800000000000001</v>
      </c>
      <c r="D17" s="24">
        <f>Solar!E23</f>
        <v/>
      </c>
      <c r="E17" s="2">
        <f>IF(ABS(D17-C17)&lt;=0.05,"OK","CHECK")</f>
        <v/>
      </c>
    </row>
    <row r="18">
      <c r="B18" s="2" t="inlineStr">
        <is>
          <t>Aldmere Schools DSCR 2025</t>
        </is>
      </c>
      <c r="C18" s="24" t="n">
        <v>1.62</v>
      </c>
      <c r="D18" s="24">
        <f>Schools!C18</f>
        <v/>
      </c>
      <c r="E18" s="2">
        <f>IF(ABS(D18-C18)&lt;=0.005,"OK","CHECK")</f>
        <v/>
      </c>
    </row>
    <row r="19">
      <c r="B19" s="2" t="inlineStr">
        <is>
          <t>Holding company interest cover 2026</t>
        </is>
      </c>
      <c r="C19" s="24" t="n">
        <v>1.14</v>
      </c>
      <c r="D19" s="24">
        <f>'Holdco and Returns'!D27</f>
        <v/>
      </c>
      <c r="E19" s="2">
        <f>IF(ABS(D19-C19)&lt;=0.005,"OK","CHECK")</f>
        <v/>
      </c>
    </row>
    <row r="20">
      <c r="B20" s="2" t="inlineStr">
        <is>
          <t>Recapitalization paid to Fund III ($m)</t>
        </is>
      </c>
      <c r="C20" s="24" t="n">
        <v>96</v>
      </c>
      <c r="D20" s="24">
        <f>'Holdco and Returns'!D30</f>
        <v/>
      </c>
      <c r="E20" s="2">
        <f>IF(ABS(D20-C20)&lt;=0.05,"OK","CHECK")</f>
        <v/>
      </c>
    </row>
    <row r="21">
      <c r="B21" s="2" t="inlineStr">
        <is>
          <t>Cash to Fund III before exit ($m)</t>
        </is>
      </c>
      <c r="C21" s="24" t="n">
        <v>148.6</v>
      </c>
      <c r="D21" s="24">
        <f>'Holdco and Returns'!J31</f>
        <v/>
      </c>
      <c r="E21" s="2">
        <f>IF(ABS(D21-C21)&lt;=0.05,"OK","CHECK")</f>
        <v/>
      </c>
    </row>
    <row r="22">
      <c r="B22" s="2" t="inlineStr">
        <is>
          <t>Equity value at 31 December 2025 ($m)</t>
        </is>
      </c>
      <c r="C22" s="24" t="n">
        <v>439.8</v>
      </c>
      <c r="D22" s="24">
        <f>'Holdco and Returns'!C40</f>
        <v/>
      </c>
      <c r="E22" s="2">
        <f>IF(ABS(D22-C22)&lt;=0.05,"OK","CHECK")</f>
        <v/>
      </c>
    </row>
    <row r="23">
      <c r="B23" s="2" t="inlineStr">
        <is>
          <t>Equity value at 31 December 2026 ($m)</t>
        </is>
      </c>
      <c r="C23" s="24" t="n">
        <v>373.4</v>
      </c>
      <c r="D23" s="24">
        <f>'Holdco and Returns'!D40</f>
        <v/>
      </c>
      <c r="E23" s="2">
        <f>IF(ABS(D23-C23)&lt;=0.05,"OK","CHECK")</f>
        <v/>
      </c>
    </row>
    <row r="24">
      <c r="B24" s="2" t="inlineStr">
        <is>
          <t>Net equity proceeds at exit ($m)</t>
        </is>
      </c>
      <c r="C24" s="24" t="n">
        <v>667</v>
      </c>
      <c r="D24" s="24">
        <f>'Holdco and Returns'!C54</f>
        <v/>
      </c>
      <c r="E24" s="2">
        <f>IF(ABS(D24-C24)&lt;=0.5,"OK","CHECK")</f>
        <v/>
      </c>
    </row>
    <row r="25">
      <c r="B25" s="2" t="inlineStr">
        <is>
          <t>Multiple of invested capital</t>
        </is>
      </c>
      <c r="C25" s="24" t="n">
        <v>1.87</v>
      </c>
      <c r="D25" s="24">
        <f>'Holdco and Returns'!C60</f>
        <v/>
      </c>
      <c r="E25" s="2">
        <f>IF(ABS(D25-C25)&lt;=0.005,"OK","CHECK")</f>
        <v/>
      </c>
    </row>
    <row r="26">
      <c r="B26" s="2" t="inlineStr">
        <is>
          <t>IRR</t>
        </is>
      </c>
      <c r="C26" s="24" t="n">
        <v>0.108</v>
      </c>
      <c r="D26" s="24">
        <f>'Holdco and Returns'!C61</f>
        <v/>
      </c>
      <c r="E26" s="2">
        <f>IF(ABS(D26-C26)&lt;=0.0005,"OK","CHECK")</f>
        <v/>
      </c>
    </row>
    <row r="28">
      <c r="B28" s="25" t="inlineStr">
        <is>
          <t>Result</t>
        </is>
      </c>
      <c r="D28" s="25">
        <f>IF(COUNTIF(E5:E26,"OK")=22,"ALL CHECKS OK","SOME CHECKS FAIL")</f>
        <v/>
      </c>
    </row>
    <row r="29">
      <c r="B29" s="2" t="inlineStr">
        <is>
          <t>The checks hold on the default inputs. Change an input and the Book column stays as printed, so the check flags what moved.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2026-10-10T02:29:53Z</dcterms:created>
  <dcterms:modified xmlns:dcterms="http://purl.org/dc/terms/" xmlns:xsi="http://www.w3.org/2001/XMLSchema-instance" xsi:type="dcterms:W3CDTF">2026-10-10T02:29:53Z</dcterms:modified>
</cp:coreProperties>
</file>