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3"/>
    <sheet name="Wexmoor" sheetId="2" state="visible" r:id="rId4"/>
    <sheet name="Wex_Stresses" sheetId="3" state="visible" r:id="rId5"/>
    <sheet name="Tarnbeck" sheetId="4" state="visible" r:id="rId6"/>
    <sheet name="Carrow" sheetId="5" state="visible" r:id="rId7"/>
    <sheet name="Pricing" sheetId="6" state="visible" r:id="rId8"/>
    <sheet name="Fund" sheetId="7" state="visible" r:id="rId9"/>
    <sheet name="Interview" sheetId="8" state="visible" r:id="rId10"/>
    <sheet name="Check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<sst xmlns="http://schemas.openxmlformats.org/spreadsheetml/2006/main" count="366" uniqueCount="322">
  <si>
    <t xml:space="preserve">The Infrastructure Debt Investor: companion workbook</t>
  </si>
  <si>
    <t xml:space="preserve">This workbook reproduces every figure printed in the book by live formula. All amounts are in $ millions unless stated.</t>
  </si>
  <si>
    <t xml:space="preserve">Blue cells on a light blue background are inputs. Everything else is a formula. There is no macro and no circular reference.</t>
  </si>
  <si>
    <t xml:space="preserve">Sheets:</t>
  </si>
  <si>
    <t xml:space="preserve">  Wexmoor      : the availability PPP senior loan. Sizing (sculpted DSCR, gearing cap), schedule, ratios, and a LIVE STRESS with the signed loan held fixed.</t>
  </si>
  <si>
    <t xml:space="preserve">  Wex_Stresses : the six stress cases of Chapter 5 side by side, each with the signed loan held fixed, and the closed-form breakevens.</t>
  </si>
  <si>
    <t xml:space="preserve">  Tarnbeck     : the wind farm. P50/P90/P99 statistics, PPA and merchant years, sizing, schedule, and a LIVE STRESS (merchant price shock, one bad year).</t>
  </si>
  <si>
    <t xml:space="preserve">  Carrow       : the opco and the holdco loan. Distributions under the opco lock-up, holdco cover, DSRA, PIK toggle, equity value and LTV. LIVE STRESS on opco EBITDA.</t>
  </si>
  <si>
    <t xml:space="preserve">  Pricing      : yields including fees, WAL, expected loss, spread after EL and the threshold PDs of Chapter 9.</t>
  </si>
  <si>
    <t xml:space="preserve">  Fund         : the portfolio of Chapter 13: weights, gross and net yield, concentration.</t>
  </si>
  <si>
    <t xml:space="preserve">  Interview    : the sixty-minute sizing case of Chapter 14.</t>
  </si>
  <si>
    <t xml:space="preserve">  Checks       : the book's printed figures beside the live formulas. At the default inputs every line reads OK.</t>
  </si>
  <si>
    <t xml:space="preserve">How to use it:</t>
  </si>
  <si>
    <t xml:space="preserve">  1. A SENSITIVITY changes a sizing input (for example the target DSCR) and re-sizes the loan.</t>
  </si>
  <si>
    <t xml:space="preserve">  2. A STRESS changes a stress input (for example the operating cost shock) and holds the signed loan fixed.</t>
  </si>
  <si>
    <t xml:space="preserve">     Only the stress tells you how close the loan comes to failure (Chapter 5).</t>
  </si>
  <si>
    <t xml:space="preserve">  3. Change the stress inputs on Wexmoor, Tarnbeck and Carrow and watch the minimum DSCR, the DSRA and the holdco cover move.</t>
  </si>
  <si>
    <t xml:space="preserve">  4. The Checks sheet compares with the book at the DEFAULT inputs; after you change an input some checks will read DIFF. That is expected.</t>
  </si>
  <si>
    <t xml:space="preserve">The cases are fictional and built for teaching. No figure is a market statistic. PD and LGD are the fund's own illustrative assumptions.</t>
  </si>
  <si>
    <t xml:space="preserve">Tax is left out of CFADS in all three cases, a declared simplification that flatters them.</t>
  </si>
  <si>
    <t xml:space="preserve">Wexmoor Schools PPP: availability senior loan</t>
  </si>
  <si>
    <t xml:space="preserve">SIZING INPUTS</t>
  </si>
  <si>
    <t xml:space="preserve">Funding requirement</t>
  </si>
  <si>
    <t xml:space="preserve">Unitary charge year 1</t>
  </si>
  <si>
    <t xml:space="preserve">Unitary charge indexation</t>
  </si>
  <si>
    <t xml:space="preserve">Operating costs year 1</t>
  </si>
  <si>
    <t xml:space="preserve">Operating cost indexation</t>
  </si>
  <si>
    <t xml:space="preserve">Lifecycle costs year 1</t>
  </si>
  <si>
    <t xml:space="preserve">Lifecycle indexation</t>
  </si>
  <si>
    <t xml:space="preserve">Tenor (years of operations, max 25)</t>
  </si>
  <si>
    <t xml:space="preserve">Fixed all-in rate</t>
  </si>
  <si>
    <t xml:space="preserve">Target DSCR (sculpting)</t>
  </si>
  <si>
    <t xml:space="preserve">Gearing cap (share of funding)</t>
  </si>
  <si>
    <t xml:space="preserve">Lock-up DSCR</t>
  </si>
  <si>
    <t xml:space="preserve">Default DSCR</t>
  </si>
  <si>
    <t xml:space="preserve">STRESS INPUTS (signed loan held fixed)</t>
  </si>
  <si>
    <t xml:space="preserve">Operating cost shock</t>
  </si>
  <si>
    <t xml:space="preserve">e.g. 15% for Chapter 5</t>
  </si>
  <si>
    <t xml:space="preserve">Performance deductions (share of charge)</t>
  </si>
  <si>
    <t xml:space="preserve">Stress: unitary charge indexation</t>
  </si>
  <si>
    <t xml:space="preserve">formula = base; overwrite to stress (e.g. 1.0%)</t>
  </si>
  <si>
    <t xml:space="preserve">Stress: cost indexation (opex and lifecycle)</t>
  </si>
  <si>
    <t xml:space="preserve">formula = base; overwrite (e.g. 1.5%)</t>
  </si>
  <si>
    <t xml:space="preserve">Lifecycle cost shock</t>
  </si>
  <si>
    <t xml:space="preserve">e.g. 30% for Chapter 5</t>
  </si>
  <si>
    <t xml:space="preserve">RESULTS</t>
  </si>
  <si>
    <t xml:space="preserve">SECONDARY PRICE (Chapter 13)</t>
  </si>
  <si>
    <t xml:space="preserve">DSCR-based debt</t>
  </si>
  <si>
    <t xml:space="preserve">Valuation at end of year</t>
  </si>
  <si>
    <t xml:space="preserve">Gearing cap amount</t>
  </si>
  <si>
    <t xml:space="preserve">Buyer's required yield</t>
  </si>
  <si>
    <t xml:space="preserve">DEBT (lower of the two)</t>
  </si>
  <si>
    <t xml:space="preserve">Balance at that date</t>
  </si>
  <si>
    <t xml:space="preserve">Scaling factor applied to debt service</t>
  </si>
  <si>
    <t xml:space="preserve">Price (PV of remaining debt service)</t>
  </si>
  <si>
    <t xml:space="preserve">Binding test</t>
  </si>
  <si>
    <t xml:space="preserve">Price per 100</t>
  </si>
  <si>
    <t xml:space="preserve">Gearing</t>
  </si>
  <si>
    <t xml:space="preserve">Equity</t>
  </si>
  <si>
    <t xml:space="preserve">DSRA (6 months of year-1 debt service)</t>
  </si>
  <si>
    <t xml:space="preserve">LLCR at close</t>
  </si>
  <si>
    <t xml:space="preserve">PLCR at close</t>
  </si>
  <si>
    <t xml:space="preserve">WAL (years)</t>
  </si>
  <si>
    <t xml:space="preserve">Minimum DSCR, stress case (loan fixed)</t>
  </si>
  <si>
    <t xml:space="preserve">Years below lock-up / default / 1.00x</t>
  </si>
  <si>
    <t xml:space="preserve">Year</t>
  </si>
  <si>
    <t xml:space="preserve">Charge (sizing)</t>
  </si>
  <si>
    <t xml:space="preserve">Opex (sizing)</t>
  </si>
  <si>
    <t xml:space="preserve">Lifecycle (sizing)</t>
  </si>
  <si>
    <t xml:space="preserve">CFADS (sizing)</t>
  </si>
  <si>
    <t xml:space="preserve">In loan</t>
  </si>
  <si>
    <t xml:space="preserve">DS before cap</t>
  </si>
  <si>
    <t xml:space="preserve">Debt service</t>
  </si>
  <si>
    <t xml:space="preserve">Interest</t>
  </si>
  <si>
    <t xml:space="preserve">Principal</t>
  </si>
  <si>
    <t xml:space="preserve">Charge (stress)</t>
  </si>
  <si>
    <t xml:space="preserve">Opex (stress)</t>
  </si>
  <si>
    <t xml:space="preserve">Lifecycle (stress)</t>
  </si>
  <si>
    <t xml:space="preserve">CFADS (stress)</t>
  </si>
  <si>
    <t xml:space="preserve">Opening debt</t>
  </si>
  <si>
    <t xml:space="preserve">DSCR (stress)</t>
  </si>
  <si>
    <t xml:space="preserve">LLCR (stress)</t>
  </si>
  <si>
    <t xml:space="preserve">Closing debt</t>
  </si>
  <si>
    <t xml:space="preserve">CFADS in loan (stress)</t>
  </si>
  <si>
    <t xml:space="preserve">Breakeven cost shock (DSCR 1.00)</t>
  </si>
  <si>
    <t xml:space="preserve">Cost shock to lock-up</t>
  </si>
  <si>
    <t xml:space="preserve">Breakeven deduction (DSCR 1.00)</t>
  </si>
  <si>
    <t xml:space="preserve">Deduction to lock-up</t>
  </si>
  <si>
    <t xml:space="preserve">Wexmoor: stresses with the signed loan held fixed (Chapter 5)</t>
  </si>
  <si>
    <t xml:space="preserve">Case</t>
  </si>
  <si>
    <t xml:space="preserve">Opex shock</t>
  </si>
  <si>
    <t xml:space="preserve">Deduction</t>
  </si>
  <si>
    <t xml:space="preserve">Charge index</t>
  </si>
  <si>
    <t xml:space="preserve">Cost index</t>
  </si>
  <si>
    <t xml:space="preserve">Min DSCR</t>
  </si>
  <si>
    <t xml:space="preserve">Year of min</t>
  </si>
  <si>
    <t xml:space="preserve">&lt; lock-up</t>
  </si>
  <si>
    <t xml:space="preserve">&lt; default</t>
  </si>
  <si>
    <t xml:space="preserve">&lt; 1.00x</t>
  </si>
  <si>
    <t xml:space="preserve">Base case</t>
  </si>
  <si>
    <t xml:space="preserve">Operating costs +15%</t>
  </si>
  <si>
    <t xml:space="preserve">Deductions 3% of charge</t>
  </si>
  <si>
    <t xml:space="preserve">Charge indexed 1.0%</t>
  </si>
  <si>
    <t xml:space="preserve">Charge indexed 0%</t>
  </si>
  <si>
    <t xml:space="preserve">Inflation 1 point lower (1.0% / 1.5%)</t>
  </si>
  <si>
    <t xml:space="preserve">Inflation 1 point higher (3.0% / 3.5%)</t>
  </si>
  <si>
    <t xml:space="preserve">Combined (+10%, 2%, 1.5%)</t>
  </si>
  <si>
    <t xml:space="preserve">BREAKEVENS (closed form, signed loan fixed)</t>
  </si>
  <si>
    <t xml:space="preserve">Operating cost increase for min DSCR 1.00x</t>
  </si>
  <si>
    <t xml:space="preserve">The indexation breakeven (1.46% in the book) is not closed form: use Goal Seek on Wexmoor!B20 so that Wexmoor!B35 = 1.</t>
  </si>
  <si>
    <t xml:space="preserve">Operating cost increase that first touches lock-up</t>
  </si>
  <si>
    <t xml:space="preserve">Permanent deduction for min DSCR 1.00x</t>
  </si>
  <si>
    <t xml:space="preserve">Permanent deduction that first touches lock-up</t>
  </si>
  <si>
    <t xml:space="preserve">Tarnbeck Wind: contracted then merchant senior loan</t>
  </si>
  <si>
    <t xml:space="preserve">Capacity (MW)</t>
  </si>
  <si>
    <t xml:space="preserve">Net P50 capacity factor</t>
  </si>
  <si>
    <t xml:space="preserve">One-year uncertainty (1 sd)</t>
  </si>
  <si>
    <t xml:space="preserve">Ten-year uncertainty (1 sd)</t>
  </si>
  <si>
    <t xml:space="preserve">PPA price ($/MWh, fixed nominal)</t>
  </si>
  <si>
    <t xml:space="preserve">PPA years</t>
  </si>
  <si>
    <t xml:space="preserve">Adviser's merchant price, first merchant year ($/MWh)</t>
  </si>
  <si>
    <t xml:space="preserve">Merchant price growth</t>
  </si>
  <si>
    <t xml:space="preserve">Lender's haircut on merchant price</t>
  </si>
  <si>
    <t xml:space="preserve">Capex</t>
  </si>
  <si>
    <t xml:space="preserve">Gearing cap</t>
  </si>
  <si>
    <t xml:space="preserve">Tenor (years)</t>
  </si>
  <si>
    <t xml:space="preserve">Target DSCR, PPA years (on P90 ten-year)</t>
  </si>
  <si>
    <t xml:space="preserve">Target DSCR, merchant years (on P50, lender price)</t>
  </si>
  <si>
    <t xml:space="preserve">Shock on lender's merchant price</t>
  </si>
  <si>
    <t xml:space="preserve">e.g. -30% for Chapter 6</t>
  </si>
  <si>
    <t xml:space="preserve">Bad year (0 = none)</t>
  </si>
  <si>
    <t xml:space="preserve">e.g. 6</t>
  </si>
  <si>
    <t xml:space="preserve">Output in the bad year (GWh)</t>
  </si>
  <si>
    <t xml:space="preserve">formula = P99 one-year; overwrite if wanted</t>
  </si>
  <si>
    <t xml:space="preserve">Permanent output loss (availability, curtailment)</t>
  </si>
  <si>
    <t xml:space="preserve">e.g. 3%</t>
  </si>
  <si>
    <t xml:space="preserve">STATISTICS</t>
  </si>
  <si>
    <t xml:space="preserve">P50 (GWh)</t>
  </si>
  <si>
    <t xml:space="preserve">P90 ten-year (GWh)</t>
  </si>
  <si>
    <t xml:space="preserve">P99 one-year (GWh)</t>
  </si>
  <si>
    <t xml:space="preserve">P90 one-year (GWh)</t>
  </si>
  <si>
    <t xml:space="preserve">Scaling factor</t>
  </si>
  <si>
    <t xml:space="preserve">Debt outstanding at end of PPA</t>
  </si>
  <si>
    <t xml:space="preserve">LLCR at close, P90 / P50</t>
  </si>
  <si>
    <t xml:space="preserve">Min DSCR stress, P50 basis, all loan years</t>
  </si>
  <si>
    <t xml:space="preserve">Min DSCR stress, P50, merchant years</t>
  </si>
  <si>
    <t xml:space="preserve">Min DSCR stress, P90, merchant years</t>
  </si>
  <si>
    <t xml:space="preserve">Bad-year DSCR (stress)</t>
  </si>
  <si>
    <t xml:space="preserve">DSRA draw needed in the bad year</t>
  </si>
  <si>
    <t xml:space="preserve">Breakeven merchant price yr 13, P50 (DSCR 1.00x, loan fixed)</t>
  </si>
  <si>
    <t xml:space="preserve">  as $/MWh in the first merchant year</t>
  </si>
  <si>
    <t xml:space="preserve">  % below the adviser</t>
  </si>
  <si>
    <t xml:space="preserve">Breakeven at P90 (shock on lender price)</t>
  </si>
  <si>
    <t xml:space="preserve">Min DSCR stress, P50, PPA years</t>
  </si>
  <si>
    <t xml:space="preserve">Min DSCR stress, P90, PPA years</t>
  </si>
  <si>
    <t xml:space="preserve">PPA?</t>
  </si>
  <si>
    <t xml:space="preserve">Lender price</t>
  </si>
  <si>
    <t xml:space="preserve">Opex</t>
  </si>
  <si>
    <t xml:space="preserve">CFADS P50 (sizing)</t>
  </si>
  <si>
    <t xml:space="preserve">CFADS P90 (sizing)</t>
  </si>
  <si>
    <t xml:space="preserve">Sizing CFADS / DSCR</t>
  </si>
  <si>
    <t xml:space="preserve">DSCR P50</t>
  </si>
  <si>
    <t xml:space="preserve">DSCR P90</t>
  </si>
  <si>
    <t xml:space="preserve">P90 CF in loan</t>
  </si>
  <si>
    <t xml:space="preserve">P50 CF in loan</t>
  </si>
  <si>
    <t xml:space="preserve">Stress output (GWh)</t>
  </si>
  <si>
    <t xml:space="preserve">Stress CFADS P50</t>
  </si>
  <si>
    <t xml:space="preserve">Stress DSCR P50</t>
  </si>
  <si>
    <t xml:space="preserve">Stress DSCR P90</t>
  </si>
  <si>
    <t xml:space="preserve">Merchant DSCR P50 (helper)</t>
  </si>
  <si>
    <t xml:space="preserve">Merchant DSCR P90 (helper)</t>
  </si>
  <si>
    <t xml:space="preserve">Breakeven shock P50 (helper)</t>
  </si>
  <si>
    <t xml:space="preserve">Breakeven shock P90 (helper)</t>
  </si>
  <si>
    <t xml:space="preserve">PPA DSCR P50 (helper)</t>
  </si>
  <si>
    <t xml:space="preserve">PPA DSCR P90 (helper)</t>
  </si>
  <si>
    <t xml:space="preserve">Carrow Heat: opco and holdco loan</t>
  </si>
  <si>
    <t xml:space="preserve">INPUTS</t>
  </si>
  <si>
    <t xml:space="preserve">Opco EBITDA year 1</t>
  </si>
  <si>
    <t xml:space="preserve">EBITDA growth</t>
  </si>
  <si>
    <t xml:space="preserve">Maintenance capex year 1</t>
  </si>
  <si>
    <t xml:space="preserve">Maintenance capex indexation</t>
  </si>
  <si>
    <t xml:space="preserve">Opco senior debt</t>
  </si>
  <si>
    <t xml:space="preserve">Opco rate</t>
  </si>
  <si>
    <t xml:space="preserve">Opco annuity years</t>
  </si>
  <si>
    <t xml:space="preserve">Opco lock-up DSCR</t>
  </si>
  <si>
    <t xml:space="preserve">Opco default DSCR</t>
  </si>
  <si>
    <t xml:space="preserve">Holdco loan</t>
  </si>
  <si>
    <t xml:space="preserve">Holdco fixed rate</t>
  </si>
  <si>
    <t xml:space="preserve">Holdco amortization (share of original, a year)</t>
  </si>
  <si>
    <t xml:space="preserve">Holdco DSRA (months of interest)</t>
  </si>
  <si>
    <t xml:space="preserve">Holdco default cover</t>
  </si>
  <si>
    <t xml:space="preserve">Holdco lock-up cover</t>
  </si>
  <si>
    <t xml:space="preserve">Cost of equity for the opco equity value</t>
  </si>
  <si>
    <t xml:space="preserve">STRESS INPUTS</t>
  </si>
  <si>
    <t xml:space="preserve">EBITDA factor (1 = base; 0.70 = -30%)</t>
  </si>
  <si>
    <t xml:space="preserve">Shock applies from year</t>
  </si>
  <si>
    <t xml:space="preserve">PIK toggle (1 = on, 0 = off)</t>
  </si>
  <si>
    <t xml:space="preserve">Opco annuity debt service</t>
  </si>
  <si>
    <t xml:space="preserve">Opco DSCR year 1</t>
  </si>
  <si>
    <t xml:space="preserve">Holdco dividend cover year 1</t>
  </si>
  <si>
    <t xml:space="preserve">Holdco DSRA at close</t>
  </si>
  <si>
    <t xml:space="preserve">Opco equity value at close</t>
  </si>
  <si>
    <t xml:space="preserve">Holdco LTV at close</t>
  </si>
  <si>
    <t xml:space="preserve">Holdco balance at maturity</t>
  </si>
  <si>
    <t xml:space="preserve">Unpaid interest over the loan</t>
  </si>
  <si>
    <t xml:space="preserve">Opco equity value at end of year 7</t>
  </si>
  <si>
    <t xml:space="preserve">LTV at maturity</t>
  </si>
  <si>
    <t xml:space="preserve">Indicated recovery at maturity</t>
  </si>
  <si>
    <t xml:space="preserve">EBITDA fall (yr 1) to holdco lock-up cover</t>
  </si>
  <si>
    <t xml:space="preserve">EBITDA fall (yr 1) to holdco default cover</t>
  </si>
  <si>
    <t xml:space="preserve">EBITDA fall (yr 1) to holdco cover 1.00x</t>
  </si>
  <si>
    <t xml:space="preserve">EBITDA fall (yr 1) to opco lock-up</t>
  </si>
  <si>
    <t xml:space="preserve">EBITDA fall (yr 1) to opco default</t>
  </si>
  <si>
    <t xml:space="preserve">Holdco debt for a year-1 cover of 1.75x</t>
  </si>
  <si>
    <t xml:space="preserve">Holdco debt for a year-1 cover of 2.00x</t>
  </si>
  <si>
    <t xml:space="preserve">Holdco year</t>
  </si>
  <si>
    <t xml:space="preserve">Opening</t>
  </si>
  <si>
    <t xml:space="preserve">Distribution</t>
  </si>
  <si>
    <t xml:space="preserve">Cover</t>
  </si>
  <si>
    <t xml:space="preserve">Interest paid in cash</t>
  </si>
  <si>
    <t xml:space="preserve">DSRA draw</t>
  </si>
  <si>
    <t xml:space="preserve">DSRA after</t>
  </si>
  <si>
    <t xml:space="preserve">PIK</t>
  </si>
  <si>
    <t xml:space="preserve">Amortization</t>
  </si>
  <si>
    <t xml:space="preserve">Unpaid interest</t>
  </si>
  <si>
    <t xml:space="preserve">Closing</t>
  </si>
  <si>
    <t xml:space="preserve">Opco year</t>
  </si>
  <si>
    <t xml:space="preserve">EBITDA</t>
  </si>
  <si>
    <t xml:space="preserve">Maintenance</t>
  </si>
  <si>
    <t xml:space="preserve">CFADS</t>
  </si>
  <si>
    <t xml:space="preserve">DSCR</t>
  </si>
  <si>
    <t xml:space="preserve">Pricing and relative value (Chapter 9). PD and LGD are illustrative assumptions.</t>
  </si>
  <si>
    <t xml:space="preserve">Item</t>
  </si>
  <si>
    <t xml:space="preserve">Wexmoor</t>
  </si>
  <si>
    <t xml:space="preserve">Tarnbeck</t>
  </si>
  <si>
    <t xml:space="preserve">Carrow</t>
  </si>
  <si>
    <t xml:space="preserve">Base rate</t>
  </si>
  <si>
    <t xml:space="preserve">Margin</t>
  </si>
  <si>
    <t xml:space="preserve">Upfront fee</t>
  </si>
  <si>
    <t xml:space="preserve">PD a year (assumed)</t>
  </si>
  <si>
    <t xml:space="preserve">LGD (assumed)</t>
  </si>
  <si>
    <t xml:space="preserve">Loan amount</t>
  </si>
  <si>
    <t xml:space="preserve">Yield including fee (IRR)</t>
  </si>
  <si>
    <t xml:space="preserve">All-in spread (yield - base)</t>
  </si>
  <si>
    <t xml:space="preserve">Fee / WAL (approximation)</t>
  </si>
  <si>
    <t xml:space="preserve">Annual EL (PD x LGD)</t>
  </si>
  <si>
    <t xml:space="preserve">Spread after EL</t>
  </si>
  <si>
    <t xml:space="preserve">Spread after EL / EL</t>
  </si>
  <si>
    <t xml:space="preserve">PD at which spread after EL = Wexmoor's</t>
  </si>
  <si>
    <t xml:space="preserve">Wex CF</t>
  </si>
  <si>
    <t xml:space="preserve">Wex</t>
  </si>
  <si>
    <t xml:space="preserve">Carrow year</t>
  </si>
  <si>
    <t xml:space="preserve">Carrow principal</t>
  </si>
  <si>
    <t xml:space="preserve">The fund (Chapter 13)</t>
  </si>
  <si>
    <t xml:space="preserve">Commitments</t>
  </si>
  <si>
    <t xml:space="preserve">Average share deployed</t>
  </si>
  <si>
    <t xml:space="preserve">Management fee on invested capital</t>
  </si>
  <si>
    <t xml:space="preserve">Fund costs on invested capital</t>
  </si>
  <si>
    <t xml:space="preserve">Weight: Wexmoor-type</t>
  </si>
  <si>
    <t xml:space="preserve">Weight: Tarnbeck-type</t>
  </si>
  <si>
    <t xml:space="preserve">Weight: Carrow-type</t>
  </si>
  <si>
    <t xml:space="preserve">Single-loan limit (share of commitments)</t>
  </si>
  <si>
    <t xml:space="preserve">Weighted gross yield</t>
  </si>
  <si>
    <t xml:space="preserve">Weighted annual EL</t>
  </si>
  <si>
    <t xml:space="preserve">Gross yield after EL</t>
  </si>
  <si>
    <t xml:space="preserve">Net yield on commitments</t>
  </si>
  <si>
    <t xml:space="preserve">Weighted WAL</t>
  </si>
  <si>
    <t xml:space="preserve">Weighted margin</t>
  </si>
  <si>
    <t xml:space="preserve">Capital: Wexmoor / Tarnbeck / Carrow buckets</t>
  </si>
  <si>
    <t xml:space="preserve">Minimum number of loans (single-loan limit)</t>
  </si>
  <si>
    <t xml:space="preserve">Net yield if Carrow-type PD = its threshold</t>
  </si>
  <si>
    <t xml:space="preserve">The sixty-minute case (Chapter 14)</t>
  </si>
  <si>
    <t xml:space="preserve">Flat CFADS</t>
  </si>
  <si>
    <t xml:space="preserve">Years</t>
  </si>
  <si>
    <t xml:space="preserve">Fixed rate</t>
  </si>
  <si>
    <t xml:space="preserve">Target DSCR</t>
  </si>
  <si>
    <t xml:space="preserve">Annuity factor</t>
  </si>
  <si>
    <t xml:space="preserve">Debt service at target DSCR</t>
  </si>
  <si>
    <t xml:space="preserve">Debt</t>
  </si>
  <si>
    <t xml:space="preserve">Debt service on the loan</t>
  </si>
  <si>
    <t xml:space="preserve">Resulting DSCR</t>
  </si>
  <si>
    <t xml:space="preserve">CFADS fall to DSCR 1.00x</t>
  </si>
  <si>
    <t xml:space="preserve">Year-1 interest</t>
  </si>
  <si>
    <t xml:space="preserve">Year-1 principal</t>
  </si>
  <si>
    <t xml:space="preserve">Checks: printed figures (book) against live formulas, at the default inputs</t>
  </si>
  <si>
    <t xml:space="preserve">Figure</t>
  </si>
  <si>
    <t xml:space="preserve">Book</t>
  </si>
  <si>
    <t xml:space="preserve">Workbook</t>
  </si>
  <si>
    <t xml:space="preserve">Status</t>
  </si>
  <si>
    <t xml:space="preserve">Wexmoor debt ($m)</t>
  </si>
  <si>
    <t xml:space="preserve">Wexmoor debt service year 1</t>
  </si>
  <si>
    <t xml:space="preserve">Wexmoor DSRA</t>
  </si>
  <si>
    <t xml:space="preserve">Wexmoor PLCR</t>
  </si>
  <si>
    <t xml:space="preserve">Wexmoor WAL</t>
  </si>
  <si>
    <t xml:space="preserve">Wexmoor min DSCR, operating costs +15%</t>
  </si>
  <si>
    <t xml:space="preserve">Wexmoor min DSCR, inflation 1 point lower</t>
  </si>
  <si>
    <t xml:space="preserve">Wexmoor breakeven cost increase</t>
  </si>
  <si>
    <t xml:space="preserve">Wexmoor breakeven deduction</t>
  </si>
  <si>
    <t xml:space="preserve">Tarnbeck P50 (GWh)</t>
  </si>
  <si>
    <t xml:space="preserve">Tarnbeck P90 ten-year (GWh)</t>
  </si>
  <si>
    <t xml:space="preserve">Tarnbeck debt ($m)</t>
  </si>
  <si>
    <t xml:space="preserve">Tarnbeck outstanding end of PPA</t>
  </si>
  <si>
    <t xml:space="preserve">Tarnbeck DSRA</t>
  </si>
  <si>
    <t xml:space="preserve">Tarnbeck breakeven merchant price P50 ($/MWh)</t>
  </si>
  <si>
    <t xml:space="preserve">Tarnbeck breakeven merchant price P90 ($/MWh)</t>
  </si>
  <si>
    <t xml:space="preserve">Carrow opco annuity</t>
  </si>
  <si>
    <t xml:space="preserve">Carrow holdco cover year 1</t>
  </si>
  <si>
    <t xml:space="preserve">Carrow opco equity value at close</t>
  </si>
  <si>
    <t xml:space="preserve">Carrow LTV at close</t>
  </si>
  <si>
    <t xml:space="preserve">Carrow EBITDA fall to holdco default</t>
  </si>
  <si>
    <t xml:space="preserve">Carrow EBITDA fall to opco lock-up</t>
  </si>
  <si>
    <t xml:space="preserve">Wexmoor yield incl. fee</t>
  </si>
  <si>
    <t xml:space="preserve">Tarnbeck yield incl. fee</t>
  </si>
  <si>
    <t xml:space="preserve">Carrow yield incl. fee</t>
  </si>
  <si>
    <t xml:space="preserve">Carrow threshold PD</t>
  </si>
  <si>
    <t xml:space="preserve">Fund weighted gross yield</t>
  </si>
  <si>
    <t xml:space="preserve">Fund net yield</t>
  </si>
  <si>
    <t xml:space="preserve">Interview: DSCR-based debt</t>
  </si>
  <si>
    <t xml:space="preserve">Carrow holdco debt for 2.00x cover</t>
  </si>
  <si>
    <t xml:space="preserve">Wexmoor price per 100, end of year 5, 6.25% yield</t>
  </si>
  <si>
    <t xml:space="preserve">Interview: resulting DSCR</t>
  </si>
  <si>
    <t xml:space="preserve">ALL CHECKS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</si>
</sst>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.00%"/>
    <numFmt numFmtId="167" formatCode="0"/>
    <numFmt numFmtId="168" formatCode="0.00\x"/>
    <numFmt numFmtId="169" formatCode="0.0000"/>
    <numFmt numFmtId="170" formatCode="0.00"/>
    <numFmt numFmtId="171" formatCode="0.0%"/>
    <numFmt numFmtId="172" formatCode="0.000\x"/>
    <numFmt numFmtId="173" formatCode="0.0"/>
    <numFmt numFmtId="174" formatCode="0%"/>
    <numFmt numFmtId="175" formatCode="0.000%"/>
    <numFmt numFmtId="176" formatCode="0.0\x"/>
    <numFmt numFmtId="177" formatCode="0.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3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1F4E9E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F0FA"/>
        <bgColor rgb="FFFFFFFF"/>
      </patternFill>
    </fill>
    <fill>
      <patternFill patternType="solid">
        <fgColor rgb="FF1F3A4D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F0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9E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0" t="s">
        <v>1</v>
      </c>
    </row>
    <row r="4" customFormat="false" ht="15" hidden="false" customHeight="false" outlineLevel="0" collapsed="false">
      <c r="A4" s="0" t="s">
        <v>2</v>
      </c>
    </row>
    <row r="6" customFormat="false" ht="15" hidden="false" customHeight="false" outlineLevel="0" collapsed="false">
      <c r="A6" s="0" t="s">
        <v>3</v>
      </c>
    </row>
    <row r="7" customFormat="false" ht="15" hidden="false" customHeight="false" outlineLevel="0" collapsed="false">
      <c r="A7" s="0" t="s">
        <v>4</v>
      </c>
    </row>
    <row r="8" customFormat="false" ht="15" hidden="false" customHeight="false" outlineLevel="0" collapsed="false">
      <c r="A8" s="0" t="s">
        <v>5</v>
      </c>
    </row>
    <row r="9" customFormat="false" ht="15" hidden="false" customHeight="false" outlineLevel="0" collapsed="false">
      <c r="A9" s="0" t="s">
        <v>6</v>
      </c>
    </row>
    <row r="10" customFormat="false" ht="15" hidden="false" customHeight="false" outlineLevel="0" collapsed="false">
      <c r="A10" s="0" t="s">
        <v>7</v>
      </c>
    </row>
    <row r="11" customFormat="false" ht="15" hidden="false" customHeight="false" outlineLevel="0" collapsed="false">
      <c r="A11" s="0" t="s">
        <v>8</v>
      </c>
    </row>
    <row r="12" customFormat="false" ht="15" hidden="false" customHeight="false" outlineLevel="0" collapsed="false">
      <c r="A12" s="0" t="s">
        <v>9</v>
      </c>
    </row>
    <row r="13" customFormat="false" ht="15" hidden="false" customHeight="false" outlineLevel="0" collapsed="false">
      <c r="A13" s="0" t="s">
        <v>10</v>
      </c>
    </row>
    <row r="14" customFormat="false" ht="15" hidden="false" customHeight="false" outlineLevel="0" collapsed="false">
      <c r="A14" s="0" t="s">
        <v>11</v>
      </c>
    </row>
    <row r="16" customFormat="false" ht="15" hidden="false" customHeight="false" outlineLevel="0" collapsed="false">
      <c r="A16" s="0" t="s">
        <v>12</v>
      </c>
    </row>
    <row r="17" customFormat="false" ht="15" hidden="false" customHeight="false" outlineLevel="0" collapsed="false">
      <c r="A17" s="0" t="s">
        <v>13</v>
      </c>
    </row>
    <row r="18" customFormat="false" ht="15" hidden="false" customHeight="false" outlineLevel="0" collapsed="false">
      <c r="A18" s="0" t="s">
        <v>14</v>
      </c>
    </row>
    <row r="19" customFormat="false" ht="15" hidden="false" customHeight="false" outlineLevel="0" collapsed="false">
      <c r="A19" s="0" t="s">
        <v>15</v>
      </c>
    </row>
    <row r="20" customFormat="false" ht="15" hidden="false" customHeight="false" outlineLevel="0" collapsed="false">
      <c r="A20" s="0" t="s">
        <v>16</v>
      </c>
    </row>
    <row r="21" customFormat="false" ht="15" hidden="false" customHeight="false" outlineLevel="0" collapsed="false">
      <c r="A21" s="0" t="s">
        <v>17</v>
      </c>
    </row>
    <row r="23" customFormat="false" ht="15" hidden="false" customHeight="false" outlineLevel="0" collapsed="false">
      <c r="A23" s="0" t="s">
        <v>18</v>
      </c>
    </row>
    <row r="24" customFormat="false" ht="15" hidden="false" customHeight="false" outlineLevel="0" collapsed="false">
      <c r="A24" s="0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6.15" hidden="false" customHeight="false" outlineLevel="0" collapsed="false">
      <c r="A1" s="2" t="s">
        <v>20</v>
      </c>
    </row>
    <row r="2" customFormat="false" ht="15" hidden="false" customHeight="false" outlineLevel="0" collapsed="false">
      <c r="A2" s="3" t="s">
        <v>21</v>
      </c>
    </row>
    <row r="3" customFormat="false" ht="15" hidden="false" customHeight="false" outlineLevel="0" collapsed="false">
      <c r="A3" s="0" t="s">
        <v>22</v>
      </c>
      <c r="B3" s="4" t="n">
        <v>280</v>
      </c>
    </row>
    <row r="4" customFormat="false" ht="15" hidden="false" customHeight="false" outlineLevel="0" collapsed="false">
      <c r="A4" s="0" t="s">
        <v>23</v>
      </c>
      <c r="B4" s="4" t="n">
        <v>28</v>
      </c>
    </row>
    <row r="5" customFormat="false" ht="15" hidden="false" customHeight="false" outlineLevel="0" collapsed="false">
      <c r="A5" s="0" t="s">
        <v>24</v>
      </c>
      <c r="B5" s="5" t="n">
        <v>0.02</v>
      </c>
    </row>
    <row r="6" customFormat="false" ht="15" hidden="false" customHeight="false" outlineLevel="0" collapsed="false">
      <c r="A6" s="0" t="s">
        <v>25</v>
      </c>
      <c r="B6" s="4" t="n">
        <v>7</v>
      </c>
    </row>
    <row r="7" customFormat="false" ht="15" hidden="false" customHeight="false" outlineLevel="0" collapsed="false">
      <c r="A7" s="0" t="s">
        <v>26</v>
      </c>
      <c r="B7" s="5" t="n">
        <v>0.025</v>
      </c>
    </row>
    <row r="8" customFormat="false" ht="15" hidden="false" customHeight="false" outlineLevel="0" collapsed="false">
      <c r="A8" s="0" t="s">
        <v>27</v>
      </c>
      <c r="B8" s="4" t="n">
        <v>1.5</v>
      </c>
    </row>
    <row r="9" customFormat="false" ht="15" hidden="false" customHeight="false" outlineLevel="0" collapsed="false">
      <c r="A9" s="0" t="s">
        <v>28</v>
      </c>
      <c r="B9" s="5" t="n">
        <v>0.025</v>
      </c>
    </row>
    <row r="10" customFormat="false" ht="15" hidden="false" customHeight="false" outlineLevel="0" collapsed="false">
      <c r="A10" s="0" t="s">
        <v>29</v>
      </c>
      <c r="B10" s="6" t="n">
        <v>23</v>
      </c>
    </row>
    <row r="11" customFormat="false" ht="15" hidden="false" customHeight="false" outlineLevel="0" collapsed="false">
      <c r="A11" s="0" t="s">
        <v>30</v>
      </c>
      <c r="B11" s="5" t="n">
        <v>0.0525</v>
      </c>
    </row>
    <row r="12" customFormat="false" ht="15" hidden="false" customHeight="false" outlineLevel="0" collapsed="false">
      <c r="A12" s="0" t="s">
        <v>31</v>
      </c>
      <c r="B12" s="7" t="n">
        <v>1.2</v>
      </c>
    </row>
    <row r="13" customFormat="false" ht="15" hidden="false" customHeight="false" outlineLevel="0" collapsed="false">
      <c r="A13" s="0" t="s">
        <v>32</v>
      </c>
      <c r="B13" s="5" t="n">
        <v>0.9</v>
      </c>
    </row>
    <row r="14" customFormat="false" ht="15" hidden="false" customHeight="false" outlineLevel="0" collapsed="false">
      <c r="A14" s="0" t="s">
        <v>33</v>
      </c>
      <c r="B14" s="7" t="n">
        <v>1.1</v>
      </c>
    </row>
    <row r="15" customFormat="false" ht="15" hidden="false" customHeight="false" outlineLevel="0" collapsed="false">
      <c r="A15" s="0" t="s">
        <v>34</v>
      </c>
      <c r="B15" s="7" t="n">
        <v>1.05</v>
      </c>
    </row>
    <row r="17" customFormat="false" ht="15" hidden="false" customHeight="false" outlineLevel="0" collapsed="false">
      <c r="A17" s="3" t="s">
        <v>35</v>
      </c>
    </row>
    <row r="18" customFormat="false" ht="15" hidden="false" customHeight="false" outlineLevel="0" collapsed="false">
      <c r="A18" s="0" t="s">
        <v>36</v>
      </c>
      <c r="B18" s="5" t="n">
        <v>0</v>
      </c>
      <c r="C18" s="8" t="s">
        <v>37</v>
      </c>
    </row>
    <row r="19" customFormat="false" ht="15" hidden="false" customHeight="false" outlineLevel="0" collapsed="false">
      <c r="A19" s="0" t="s">
        <v>38</v>
      </c>
      <c r="B19" s="5" t="n">
        <v>0</v>
      </c>
    </row>
    <row r="20" customFormat="false" ht="15" hidden="false" customHeight="false" outlineLevel="0" collapsed="false">
      <c r="A20" s="0" t="s">
        <v>39</v>
      </c>
      <c r="B20" s="5" t="n">
        <f aca="false">$B$5</f>
        <v>0.02</v>
      </c>
      <c r="C20" s="8" t="s">
        <v>40</v>
      </c>
    </row>
    <row r="21" customFormat="false" ht="15" hidden="false" customHeight="false" outlineLevel="0" collapsed="false">
      <c r="A21" s="0" t="s">
        <v>41</v>
      </c>
      <c r="B21" s="5" t="n">
        <f aca="false">$B$7</f>
        <v>0.025</v>
      </c>
      <c r="C21" s="8" t="s">
        <v>42</v>
      </c>
    </row>
    <row r="22" customFormat="false" ht="15" hidden="false" customHeight="false" outlineLevel="0" collapsed="false">
      <c r="A22" s="0" t="s">
        <v>43</v>
      </c>
      <c r="B22" s="5" t="n">
        <v>0</v>
      </c>
      <c r="C22" s="8" t="s">
        <v>44</v>
      </c>
    </row>
    <row r="23" customFormat="false" ht="15" hidden="false" customHeight="false" outlineLevel="0" collapsed="false">
      <c r="A23" s="3" t="s">
        <v>45</v>
      </c>
      <c r="E23" s="3" t="s">
        <v>46</v>
      </c>
    </row>
    <row r="24" customFormat="false" ht="15" hidden="false" customHeight="false" outlineLevel="0" collapsed="false">
      <c r="A24" s="9" t="s">
        <v>47</v>
      </c>
      <c r="B24" s="10" t="n">
        <f aca="false">NPV($B$11,G40:G64)</f>
        <v>251.504626459415</v>
      </c>
      <c r="E24" s="8" t="s">
        <v>48</v>
      </c>
      <c r="F24" s="11" t="n">
        <v>5</v>
      </c>
    </row>
    <row r="25" customFormat="false" ht="15" hidden="false" customHeight="false" outlineLevel="0" collapsed="false">
      <c r="A25" s="9" t="s">
        <v>49</v>
      </c>
      <c r="B25" s="10" t="n">
        <f aca="false">$B$13*$B$3</f>
        <v>252</v>
      </c>
      <c r="E25" s="8" t="s">
        <v>50</v>
      </c>
      <c r="F25" s="5" t="n">
        <v>0.0625</v>
      </c>
    </row>
    <row r="26" customFormat="false" ht="15" hidden="false" customHeight="false" outlineLevel="0" collapsed="false">
      <c r="A26" s="9" t="s">
        <v>51</v>
      </c>
      <c r="B26" s="10" t="n">
        <f aca="false">MIN($B$24,$B$25)</f>
        <v>251.504626459415</v>
      </c>
      <c r="E26" s="8" t="s">
        <v>52</v>
      </c>
      <c r="F26" s="10" t="n">
        <f aca="false">INDEX(R40:R64,F24)</f>
        <v>231.486608502301</v>
      </c>
    </row>
    <row r="27" customFormat="false" ht="15" hidden="false" customHeight="false" outlineLevel="0" collapsed="false">
      <c r="A27" s="9" t="s">
        <v>53</v>
      </c>
      <c r="B27" s="12" t="n">
        <f aca="false">$B$26/$B$24</f>
        <v>1</v>
      </c>
      <c r="E27" s="8" t="s">
        <v>54</v>
      </c>
      <c r="F27" s="10" t="n">
        <f aca="true">NPV(F25,OFFSET(H40,F24,0,25-F24,1))</f>
        <v>213.661133251409</v>
      </c>
    </row>
    <row r="28" customFormat="false" ht="15" hidden="false" customHeight="false" outlineLevel="0" collapsed="false">
      <c r="A28" s="9" t="s">
        <v>55</v>
      </c>
      <c r="B28" s="0" t="str">
        <f aca="false">IF($B$24&lt;=$B$25,"DSCR","gearing")</f>
        <v>DSCR</v>
      </c>
      <c r="E28" s="8" t="s">
        <v>56</v>
      </c>
      <c r="F28" s="13" t="n">
        <f aca="false">F27/F26*100</f>
        <v>92.2995652464647</v>
      </c>
    </row>
    <row r="29" customFormat="false" ht="15" hidden="false" customHeight="false" outlineLevel="0" collapsed="false">
      <c r="A29" s="9" t="s">
        <v>57</v>
      </c>
      <c r="B29" s="14" t="n">
        <f aca="false">$B$26/$B$3</f>
        <v>0.898230808783625</v>
      </c>
    </row>
    <row r="30" customFormat="false" ht="15" hidden="false" customHeight="false" outlineLevel="0" collapsed="false">
      <c r="A30" s="9" t="s">
        <v>58</v>
      </c>
      <c r="B30" s="10" t="n">
        <f aca="false">$B$3-$B$26</f>
        <v>28.495373540585</v>
      </c>
    </row>
    <row r="31" customFormat="false" ht="15" hidden="false" customHeight="false" outlineLevel="0" collapsed="false">
      <c r="A31" s="9" t="s">
        <v>59</v>
      </c>
      <c r="B31" s="10" t="n">
        <f aca="false">H40/2</f>
        <v>8.125</v>
      </c>
    </row>
    <row r="32" customFormat="false" ht="15" hidden="false" customHeight="false" outlineLevel="0" collapsed="false">
      <c r="A32" s="9" t="s">
        <v>60</v>
      </c>
      <c r="B32" s="15" t="n">
        <f aca="false">Q40</f>
        <v>1.2</v>
      </c>
    </row>
    <row r="33" customFormat="false" ht="15" hidden="false" customHeight="false" outlineLevel="0" collapsed="false">
      <c r="A33" s="9" t="s">
        <v>61</v>
      </c>
      <c r="B33" s="15" t="n">
        <f aca="false">NPV($B$11,E40:E64)/$B$26</f>
        <v>1.26676587456602</v>
      </c>
    </row>
    <row r="34" customFormat="false" ht="15" hidden="false" customHeight="false" outlineLevel="0" collapsed="false">
      <c r="A34" s="9" t="s">
        <v>62</v>
      </c>
      <c r="B34" s="13" t="n">
        <f aca="false">SUMPRODUCT(A40:A64,J40:J64)/SUM(J40:J64)</f>
        <v>15.5183983691413</v>
      </c>
    </row>
    <row r="35" customFormat="false" ht="15" hidden="false" customHeight="false" outlineLevel="0" collapsed="false">
      <c r="A35" s="9" t="s">
        <v>63</v>
      </c>
      <c r="B35" s="15" t="n">
        <f aca="false">MIN(P40:P64)</f>
        <v>1.2</v>
      </c>
    </row>
    <row r="36" customFormat="false" ht="15" hidden="false" customHeight="false" outlineLevel="0" collapsed="false">
      <c r="A36" s="9" t="s">
        <v>64</v>
      </c>
      <c r="B36" s="0" t="str">
        <f aca="false">COUNTIF(P40:P64,"&lt;"&amp;$B$14)&amp;" / "&amp;COUNTIF(P40:P64,"&lt;"&amp;$B$15)&amp;" / "&amp;COUNTIF(P40:P64,"&lt;1")</f>
        <v>0 / 0 / 0</v>
      </c>
    </row>
    <row r="39" customFormat="false" ht="68.65" hidden="false" customHeight="false" outlineLevel="0" collapsed="false">
      <c r="A39" s="16" t="s">
        <v>65</v>
      </c>
      <c r="B39" s="16" t="s">
        <v>66</v>
      </c>
      <c r="C39" s="16" t="s">
        <v>67</v>
      </c>
      <c r="D39" s="16" t="s">
        <v>68</v>
      </c>
      <c r="E39" s="16" t="s">
        <v>69</v>
      </c>
      <c r="F39" s="16" t="s">
        <v>70</v>
      </c>
      <c r="G39" s="16" t="s">
        <v>71</v>
      </c>
      <c r="H39" s="16" t="s">
        <v>72</v>
      </c>
      <c r="I39" s="16" t="s">
        <v>73</v>
      </c>
      <c r="J39" s="16" t="s">
        <v>74</v>
      </c>
      <c r="K39" s="16" t="s">
        <v>75</v>
      </c>
      <c r="L39" s="16" t="s">
        <v>76</v>
      </c>
      <c r="M39" s="16" t="s">
        <v>77</v>
      </c>
      <c r="N39" s="16" t="s">
        <v>78</v>
      </c>
      <c r="O39" s="16" t="s">
        <v>79</v>
      </c>
      <c r="P39" s="16" t="s">
        <v>80</v>
      </c>
      <c r="Q39" s="16" t="s">
        <v>81</v>
      </c>
      <c r="R39" s="16" t="s">
        <v>82</v>
      </c>
      <c r="S39" s="16" t="s">
        <v>83</v>
      </c>
      <c r="T39" s="16" t="s">
        <v>84</v>
      </c>
      <c r="U39" s="16" t="s">
        <v>85</v>
      </c>
      <c r="V39" s="16" t="s">
        <v>86</v>
      </c>
      <c r="W39" s="16" t="s">
        <v>87</v>
      </c>
    </row>
    <row r="40" customFormat="false" ht="15" hidden="false" customHeight="false" outlineLevel="0" collapsed="false">
      <c r="A40" s="0" t="n">
        <v>1</v>
      </c>
      <c r="B40" s="10" t="n">
        <f aca="false">$B$4*(1+$B$5)^(A40-1)</f>
        <v>28</v>
      </c>
      <c r="C40" s="10" t="n">
        <f aca="false">$B$6*(1+$B$7)^(A40-1)</f>
        <v>7</v>
      </c>
      <c r="D40" s="10" t="n">
        <f aca="false">$B$8*(1+$B$9)^(A40-1)</f>
        <v>1.5</v>
      </c>
      <c r="E40" s="10" t="n">
        <f aca="false">B40-C40-D40</f>
        <v>19.5</v>
      </c>
      <c r="F40" s="10" t="n">
        <f aca="false">IF(A40&lt;=$B$10,1,0)</f>
        <v>1</v>
      </c>
      <c r="G40" s="10" t="n">
        <f aca="false">F40*E40/$B$12</f>
        <v>16.25</v>
      </c>
      <c r="H40" s="10" t="n">
        <f aca="false">G40*$B$27</f>
        <v>16.25</v>
      </c>
      <c r="I40" s="10" t="n">
        <f aca="false">O40*$B$11*F40</f>
        <v>13.2039928891193</v>
      </c>
      <c r="J40" s="10" t="n">
        <f aca="false">H40-I40</f>
        <v>3.04600711088071</v>
      </c>
      <c r="K40" s="10" t="n">
        <f aca="false">$B$4*(1+$B$20)^(A40-1)*(1-$B$19)</f>
        <v>28</v>
      </c>
      <c r="L40" s="10" t="n">
        <f aca="false">$B$6*(1+$B$21)^(A40-1)*(1+$B$18)</f>
        <v>7</v>
      </c>
      <c r="M40" s="10" t="n">
        <f aca="false">$B$8*(1+$B$21)^(A40-1)*(1+$B$22)</f>
        <v>1.5</v>
      </c>
      <c r="N40" s="10" t="n">
        <f aca="false">K40-L40-M40</f>
        <v>19.5</v>
      </c>
      <c r="O40" s="10" t="n">
        <f aca="false">$B$26</f>
        <v>251.504626459415</v>
      </c>
      <c r="P40" s="15" t="n">
        <f aca="false">IF(F40=1,N40/H40,"")</f>
        <v>1.2</v>
      </c>
      <c r="Q40" s="15" t="n">
        <f aca="false">IF(F40=1,NPV($B$11,S40:S64)/O40,"")</f>
        <v>1.2</v>
      </c>
      <c r="R40" s="10" t="n">
        <f aca="false">O40-J40</f>
        <v>248.458619348534</v>
      </c>
      <c r="S40" s="10" t="n">
        <f aca="false">N40*F40</f>
        <v>19.5</v>
      </c>
      <c r="T40" s="17" t="n">
        <f aca="false">IF(F40=1,(B40-D40-H40)/C40-1,9)</f>
        <v>0.464285714285714</v>
      </c>
      <c r="U40" s="17" t="n">
        <f aca="false">IF(F40=1,(B40-D40-$B$14*H40)/C40-1,9)</f>
        <v>0.232142857142857</v>
      </c>
      <c r="V40" s="17" t="n">
        <f aca="false">IF(F40=1,1-(H40+C40+D40)/B40,9)</f>
        <v>0.116071428571429</v>
      </c>
      <c r="W40" s="17" t="n">
        <f aca="false">IF(F40=1,1-($B$14*H40+C40+D40)/B40,9)</f>
        <v>0.0580357142857143</v>
      </c>
    </row>
    <row r="41" customFormat="false" ht="15" hidden="false" customHeight="false" outlineLevel="0" collapsed="false">
      <c r="A41" s="0" t="n">
        <v>2</v>
      </c>
      <c r="B41" s="10" t="n">
        <f aca="false">$B$4*(1+$B$5)^(A41-1)</f>
        <v>28.56</v>
      </c>
      <c r="C41" s="10" t="n">
        <f aca="false">$B$6*(1+$B$7)^(A41-1)</f>
        <v>7.175</v>
      </c>
      <c r="D41" s="10" t="n">
        <f aca="false">$B$8*(1+$B$9)^(A41-1)</f>
        <v>1.5375</v>
      </c>
      <c r="E41" s="10" t="n">
        <f aca="false">B41-C41-D41</f>
        <v>19.8475</v>
      </c>
      <c r="F41" s="10" t="n">
        <f aca="false">IF(A41&lt;=$B$10,1,0)</f>
        <v>1</v>
      </c>
      <c r="G41" s="10" t="n">
        <f aca="false">F41*E41/$B$12</f>
        <v>16.5395833333333</v>
      </c>
      <c r="H41" s="10" t="n">
        <f aca="false">G41*$B$27</f>
        <v>16.5395833333333</v>
      </c>
      <c r="I41" s="10" t="n">
        <f aca="false">O41*$B$11*F41</f>
        <v>13.0440775157981</v>
      </c>
      <c r="J41" s="10" t="n">
        <f aca="false">H41-I41</f>
        <v>3.49550581753529</v>
      </c>
      <c r="K41" s="10" t="n">
        <f aca="false">$B$4*(1+$B$20)^(A41-1)*(1-$B$19)</f>
        <v>28.56</v>
      </c>
      <c r="L41" s="10" t="n">
        <f aca="false">$B$6*(1+$B$21)^(A41-1)*(1+$B$18)</f>
        <v>7.175</v>
      </c>
      <c r="M41" s="10" t="n">
        <f aca="false">$B$8*(1+$B$21)^(A41-1)*(1+$B$22)</f>
        <v>1.5375</v>
      </c>
      <c r="N41" s="10" t="n">
        <f aca="false">K41-L41-M41</f>
        <v>19.8475</v>
      </c>
      <c r="O41" s="10" t="n">
        <f aca="false">R40</f>
        <v>248.458619348534</v>
      </c>
      <c r="P41" s="15" t="n">
        <f aca="false">IF(F41=1,N41/H41,"")</f>
        <v>1.2</v>
      </c>
      <c r="Q41" s="15" t="n">
        <f aca="false">IF(F41=1,NPV($B$11,S41:S64)/O41,"")</f>
        <v>1.2</v>
      </c>
      <c r="R41" s="10" t="n">
        <f aca="false">O41-J41</f>
        <v>244.963113530999</v>
      </c>
      <c r="S41" s="10" t="n">
        <f aca="false">N41*F41</f>
        <v>19.8475</v>
      </c>
      <c r="T41" s="17" t="n">
        <f aca="false">IF(F41=1,(B41-D41-H41)/C41-1,9)</f>
        <v>0.461033681765389</v>
      </c>
      <c r="U41" s="17" t="n">
        <f aca="false">IF(F41=1,(B41-D41-$B$14*H41)/C41-1,9)</f>
        <v>0.230516840882694</v>
      </c>
      <c r="V41" s="17" t="n">
        <f aca="false">IF(F41=1,1-(H41+C41+D41)/B41,9)</f>
        <v>0.115823412698413</v>
      </c>
      <c r="W41" s="17" t="n">
        <f aca="false">IF(F41=1,1-($B$14*H41+C41+D41)/B41,9)</f>
        <v>0.0579117063492062</v>
      </c>
    </row>
    <row r="42" customFormat="false" ht="15" hidden="false" customHeight="false" outlineLevel="0" collapsed="false">
      <c r="A42" s="0" t="n">
        <v>3</v>
      </c>
      <c r="B42" s="10" t="n">
        <f aca="false">$B$4*(1+$B$5)^(A42-1)</f>
        <v>29.1312</v>
      </c>
      <c r="C42" s="10" t="n">
        <f aca="false">$B$6*(1+$B$7)^(A42-1)</f>
        <v>7.354375</v>
      </c>
      <c r="D42" s="10" t="n">
        <f aca="false">$B$8*(1+$B$9)^(A42-1)</f>
        <v>1.5759375</v>
      </c>
      <c r="E42" s="10" t="n">
        <f aca="false">B42-C42-D42</f>
        <v>20.2008875</v>
      </c>
      <c r="F42" s="10" t="n">
        <f aca="false">IF(A42&lt;=$B$10,1,0)</f>
        <v>1</v>
      </c>
      <c r="G42" s="10" t="n">
        <f aca="false">F42*E42/$B$12</f>
        <v>16.8340729166667</v>
      </c>
      <c r="H42" s="10" t="n">
        <f aca="false">G42*$B$27</f>
        <v>16.8340729166667</v>
      </c>
      <c r="I42" s="10" t="n">
        <f aca="false">O42*$B$11*F42</f>
        <v>12.8605634603774</v>
      </c>
      <c r="J42" s="10" t="n">
        <f aca="false">H42-I42</f>
        <v>3.97350945628922</v>
      </c>
      <c r="K42" s="10" t="n">
        <f aca="false">$B$4*(1+$B$20)^(A42-1)*(1-$B$19)</f>
        <v>29.1312</v>
      </c>
      <c r="L42" s="10" t="n">
        <f aca="false">$B$6*(1+$B$21)^(A42-1)*(1+$B$18)</f>
        <v>7.354375</v>
      </c>
      <c r="M42" s="10" t="n">
        <f aca="false">$B$8*(1+$B$21)^(A42-1)*(1+$B$22)</f>
        <v>1.5759375</v>
      </c>
      <c r="N42" s="10" t="n">
        <f aca="false">K42-L42-M42</f>
        <v>20.2008875</v>
      </c>
      <c r="O42" s="10" t="n">
        <f aca="false">R41</f>
        <v>244.963113530999</v>
      </c>
      <c r="P42" s="15" t="n">
        <f aca="false">IF(F42=1,N42/H42,"")</f>
        <v>1.2</v>
      </c>
      <c r="Q42" s="15" t="n">
        <f aca="false">IF(F42=1,NPV($B$11,S42:S64)/O42,"")</f>
        <v>1.2</v>
      </c>
      <c r="R42" s="10" t="n">
        <f aca="false">O42-J42</f>
        <v>240.98960407471</v>
      </c>
      <c r="S42" s="10" t="n">
        <f aca="false">N42*F42</f>
        <v>20.2008875</v>
      </c>
      <c r="T42" s="17" t="n">
        <f aca="false">IF(F42=1,(B42-D42-H42)/C42-1,9)</f>
        <v>0.457797512818334</v>
      </c>
      <c r="U42" s="17" t="n">
        <f aca="false">IF(F42=1,(B42-D42-$B$14*H42)/C42-1,9)</f>
        <v>0.228898756409166</v>
      </c>
      <c r="V42" s="17" t="n">
        <f aca="false">IF(F42=1,1-(H42+C42+D42)/B42,9)</f>
        <v>0.115574181061313</v>
      </c>
      <c r="W42" s="17" t="n">
        <f aca="false">IF(F42=1,1-($B$14*H42+C42+D42)/B42,9)</f>
        <v>0.0577870905306567</v>
      </c>
    </row>
    <row r="43" customFormat="false" ht="15" hidden="false" customHeight="false" outlineLevel="0" collapsed="false">
      <c r="A43" s="0" t="n">
        <v>4</v>
      </c>
      <c r="B43" s="10" t="n">
        <f aca="false">$B$4*(1+$B$5)^(A43-1)</f>
        <v>29.713824</v>
      </c>
      <c r="C43" s="10" t="n">
        <f aca="false">$B$6*(1+$B$7)^(A43-1)</f>
        <v>7.538234375</v>
      </c>
      <c r="D43" s="10" t="n">
        <f aca="false">$B$8*(1+$B$9)^(A43-1)</f>
        <v>1.6153359375</v>
      </c>
      <c r="E43" s="10" t="n">
        <f aca="false">B43-C43-D43</f>
        <v>20.5602536875</v>
      </c>
      <c r="F43" s="10" t="n">
        <f aca="false">IF(A43&lt;=$B$10,1,0)</f>
        <v>1</v>
      </c>
      <c r="G43" s="10" t="n">
        <f aca="false">F43*E43/$B$12</f>
        <v>17.1335447395833</v>
      </c>
      <c r="H43" s="10" t="n">
        <f aca="false">G43*$B$27</f>
        <v>17.1335447395833</v>
      </c>
      <c r="I43" s="10" t="n">
        <f aca="false">O43*$B$11*F43</f>
        <v>12.6519542139223</v>
      </c>
      <c r="J43" s="10" t="n">
        <f aca="false">H43-I43</f>
        <v>4.48159052566107</v>
      </c>
      <c r="K43" s="10" t="n">
        <f aca="false">$B$4*(1+$B$20)^(A43-1)*(1-$B$19)</f>
        <v>29.713824</v>
      </c>
      <c r="L43" s="10" t="n">
        <f aca="false">$B$6*(1+$B$21)^(A43-1)*(1+$B$18)</f>
        <v>7.538234375</v>
      </c>
      <c r="M43" s="10" t="n">
        <f aca="false">$B$8*(1+$B$21)^(A43-1)*(1+$B$22)</f>
        <v>1.6153359375</v>
      </c>
      <c r="N43" s="10" t="n">
        <f aca="false">K43-L43-M43</f>
        <v>20.5602536875</v>
      </c>
      <c r="O43" s="10" t="n">
        <f aca="false">R42</f>
        <v>240.98960407471</v>
      </c>
      <c r="P43" s="15" t="n">
        <f aca="false">IF(F43=1,N43/H43,"")</f>
        <v>1.2</v>
      </c>
      <c r="Q43" s="15" t="n">
        <f aca="false">IF(F43=1,NPV($B$11,S43:S64)/O43,"")</f>
        <v>1.2</v>
      </c>
      <c r="R43" s="10" t="n">
        <f aca="false">O43-J43</f>
        <v>236.508013549049</v>
      </c>
      <c r="S43" s="10" t="n">
        <f aca="false">N43*F43</f>
        <v>20.5602536875</v>
      </c>
      <c r="T43" s="17" t="n">
        <f aca="false">IF(F43=1,(B43-D43-H43)/C43-1,9)</f>
        <v>0.454577130061264</v>
      </c>
      <c r="U43" s="17" t="n">
        <f aca="false">IF(F43=1,(B43-D43-$B$14*H43)/C43-1,9)</f>
        <v>0.227288565030632</v>
      </c>
      <c r="V43" s="17" t="n">
        <f aca="false">IF(F43=1,1-(H43+C43+D43)/B43,9)</f>
        <v>0.115323727700503</v>
      </c>
      <c r="W43" s="17" t="n">
        <f aca="false">IF(F43=1,1-($B$14*H43+C43+D43)/B43,9)</f>
        <v>0.0576618638502513</v>
      </c>
    </row>
    <row r="44" customFormat="false" ht="15" hidden="false" customHeight="false" outlineLevel="0" collapsed="false">
      <c r="A44" s="0" t="n">
        <v>5</v>
      </c>
      <c r="B44" s="10" t="n">
        <f aca="false">$B$4*(1+$B$5)^(A44-1)</f>
        <v>30.30810048</v>
      </c>
      <c r="C44" s="10" t="n">
        <f aca="false">$B$6*(1+$B$7)^(A44-1)</f>
        <v>7.726690234375</v>
      </c>
      <c r="D44" s="10" t="n">
        <f aca="false">$B$8*(1+$B$9)^(A44-1)</f>
        <v>1.6557193359375</v>
      </c>
      <c r="E44" s="10" t="n">
        <f aca="false">B44-C44-D44</f>
        <v>20.9256909096875</v>
      </c>
      <c r="F44" s="10" t="n">
        <f aca="false">IF(A44&lt;=$B$10,1,0)</f>
        <v>1</v>
      </c>
      <c r="G44" s="10" t="n">
        <f aca="false">F44*E44/$B$12</f>
        <v>17.4380757580729</v>
      </c>
      <c r="H44" s="10" t="n">
        <f aca="false">G44*$B$27</f>
        <v>17.4380757580729</v>
      </c>
      <c r="I44" s="10" t="n">
        <f aca="false">O44*$B$11*F44</f>
        <v>12.4166707113251</v>
      </c>
      <c r="J44" s="10" t="n">
        <f aca="false">H44-I44</f>
        <v>5.02140504674786</v>
      </c>
      <c r="K44" s="10" t="n">
        <f aca="false">$B$4*(1+$B$20)^(A44-1)*(1-$B$19)</f>
        <v>30.30810048</v>
      </c>
      <c r="L44" s="10" t="n">
        <f aca="false">$B$6*(1+$B$21)^(A44-1)*(1+$B$18)</f>
        <v>7.726690234375</v>
      </c>
      <c r="M44" s="10" t="n">
        <f aca="false">$B$8*(1+$B$21)^(A44-1)*(1+$B$22)</f>
        <v>1.6557193359375</v>
      </c>
      <c r="N44" s="10" t="n">
        <f aca="false">K44-L44-M44</f>
        <v>20.9256909096875</v>
      </c>
      <c r="O44" s="10" t="n">
        <f aca="false">R43</f>
        <v>236.508013549049</v>
      </c>
      <c r="P44" s="15" t="n">
        <f aca="false">IF(F44=1,N44/H44,"")</f>
        <v>1.2</v>
      </c>
      <c r="Q44" s="15" t="n">
        <f aca="false">IF(F44=1,NPV($B$11,S44:S64)/O44,"")</f>
        <v>1.2</v>
      </c>
      <c r="R44" s="10" t="n">
        <f aca="false">O44-J44</f>
        <v>231.486608502301</v>
      </c>
      <c r="S44" s="10" t="n">
        <f aca="false">N44*F44</f>
        <v>20.9256909096875</v>
      </c>
      <c r="T44" s="17" t="n">
        <f aca="false">IF(F44=1,(B44-D44-H44)/C44-1,9)</f>
        <v>0.451372456488376</v>
      </c>
      <c r="U44" s="17" t="n">
        <f aca="false">IF(F44=1,(B44-D44-$B$14*H44)/C44-1,9)</f>
        <v>0.225686228244188</v>
      </c>
      <c r="V44" s="17" t="n">
        <f aca="false">IF(F44=1,1-(H44+C44+D44)/B44,9)</f>
        <v>0.115072046627139</v>
      </c>
      <c r="W44" s="17" t="n">
        <f aca="false">IF(F44=1,1-($B$14*H44+C44+D44)/B44,9)</f>
        <v>0.0575360233135698</v>
      </c>
    </row>
    <row r="45" customFormat="false" ht="15" hidden="false" customHeight="false" outlineLevel="0" collapsed="false">
      <c r="A45" s="0" t="n">
        <v>6</v>
      </c>
      <c r="B45" s="10" t="n">
        <f aca="false">$B$4*(1+$B$5)^(A45-1)</f>
        <v>30.9142624896</v>
      </c>
      <c r="C45" s="10" t="n">
        <f aca="false">$B$6*(1+$B$7)^(A45-1)</f>
        <v>7.91985749023437</v>
      </c>
      <c r="D45" s="10" t="n">
        <f aca="false">$B$8*(1+$B$9)^(A45-1)</f>
        <v>1.69711231933594</v>
      </c>
      <c r="E45" s="10" t="n">
        <f aca="false">B45-C45-D45</f>
        <v>21.2972926800297</v>
      </c>
      <c r="F45" s="10" t="n">
        <f aca="false">IF(A45&lt;=$B$10,1,0)</f>
        <v>1</v>
      </c>
      <c r="G45" s="10" t="n">
        <f aca="false">F45*E45/$B$12</f>
        <v>17.7477439000247</v>
      </c>
      <c r="H45" s="10" t="n">
        <f aca="false">G45*$B$27</f>
        <v>17.7477439000247</v>
      </c>
      <c r="I45" s="10" t="n">
        <f aca="false">O45*$B$11*F45</f>
        <v>12.1530469463708</v>
      </c>
      <c r="J45" s="10" t="n">
        <f aca="false">H45-I45</f>
        <v>5.59469695365395</v>
      </c>
      <c r="K45" s="10" t="n">
        <f aca="false">$B$4*(1+$B$20)^(A45-1)*(1-$B$19)</f>
        <v>30.9142624896</v>
      </c>
      <c r="L45" s="10" t="n">
        <f aca="false">$B$6*(1+$B$21)^(A45-1)*(1+$B$18)</f>
        <v>7.91985749023437</v>
      </c>
      <c r="M45" s="10" t="n">
        <f aca="false">$B$8*(1+$B$21)^(A45-1)*(1+$B$22)</f>
        <v>1.69711231933594</v>
      </c>
      <c r="N45" s="10" t="n">
        <f aca="false">K45-L45-M45</f>
        <v>21.2972926800297</v>
      </c>
      <c r="O45" s="10" t="n">
        <f aca="false">R44</f>
        <v>231.486608502301</v>
      </c>
      <c r="P45" s="15" t="n">
        <f aca="false">IF(F45=1,N45/H45,"")</f>
        <v>1.2</v>
      </c>
      <c r="Q45" s="15" t="n">
        <f aca="false">IF(F45=1,NPV($B$11,S45:S64)/O45,"")</f>
        <v>1.2</v>
      </c>
      <c r="R45" s="10" t="n">
        <f aca="false">O45-J45</f>
        <v>225.891911548647</v>
      </c>
      <c r="S45" s="10" t="n">
        <f aca="false">N45*F45</f>
        <v>21.2972926800297</v>
      </c>
      <c r="T45" s="17" t="n">
        <f aca="false">IF(F45=1,(B45-D45-H45)/C45-1,9)</f>
        <v>0.448183415469501</v>
      </c>
      <c r="U45" s="17" t="n">
        <f aca="false">IF(F45=1,(B45-D45-$B$14*H45)/C45-1,9)</f>
        <v>0.22409170773475</v>
      </c>
      <c r="V45" s="17" t="n">
        <f aca="false">IF(F45=1,1-(H45+C45+D45)/B45,9)</f>
        <v>0.114819131823024</v>
      </c>
      <c r="W45" s="17" t="n">
        <f aca="false">IF(F45=1,1-($B$14*H45+C45+D45)/B45,9)</f>
        <v>0.0574095659115119</v>
      </c>
    </row>
    <row r="46" customFormat="false" ht="15" hidden="false" customHeight="false" outlineLevel="0" collapsed="false">
      <c r="A46" s="0" t="n">
        <v>7</v>
      </c>
      <c r="B46" s="10" t="n">
        <f aca="false">$B$4*(1+$B$5)^(A46-1)</f>
        <v>31.532547739392</v>
      </c>
      <c r="C46" s="10" t="n">
        <f aca="false">$B$6*(1+$B$7)^(A46-1)</f>
        <v>8.11785392749023</v>
      </c>
      <c r="D46" s="10" t="n">
        <f aca="false">$B$8*(1+$B$9)^(A46-1)</f>
        <v>1.73954012731934</v>
      </c>
      <c r="E46" s="10" t="n">
        <f aca="false">B46-C46-D46</f>
        <v>21.6751536845824</v>
      </c>
      <c r="F46" s="10" t="n">
        <f aca="false">IF(A46&lt;=$B$10,1,0)</f>
        <v>1</v>
      </c>
      <c r="G46" s="10" t="n">
        <f aca="false">F46*E46/$B$12</f>
        <v>18.0626280704854</v>
      </c>
      <c r="H46" s="10" t="n">
        <f aca="false">G46*$B$27</f>
        <v>18.0626280704854</v>
      </c>
      <c r="I46" s="10" t="n">
        <f aca="false">O46*$B$11*F46</f>
        <v>11.859325356304</v>
      </c>
      <c r="J46" s="10" t="n">
        <f aca="false">H46-I46</f>
        <v>6.2033027141814</v>
      </c>
      <c r="K46" s="10" t="n">
        <f aca="false">$B$4*(1+$B$20)^(A46-1)*(1-$B$19)</f>
        <v>31.532547739392</v>
      </c>
      <c r="L46" s="10" t="n">
        <f aca="false">$B$6*(1+$B$21)^(A46-1)*(1+$B$18)</f>
        <v>8.11785392749023</v>
      </c>
      <c r="M46" s="10" t="n">
        <f aca="false">$B$8*(1+$B$21)^(A46-1)*(1+$B$22)</f>
        <v>1.73954012731934</v>
      </c>
      <c r="N46" s="10" t="n">
        <f aca="false">K46-L46-M46</f>
        <v>21.6751536845824</v>
      </c>
      <c r="O46" s="10" t="n">
        <f aca="false">R45</f>
        <v>225.891911548647</v>
      </c>
      <c r="P46" s="15" t="n">
        <f aca="false">IF(F46=1,N46/H46,"")</f>
        <v>1.2</v>
      </c>
      <c r="Q46" s="15" t="n">
        <f aca="false">IF(F46=1,NPV($B$11,S46:S64)/O46,"")</f>
        <v>1.2</v>
      </c>
      <c r="R46" s="10" t="n">
        <f aca="false">O46-J46</f>
        <v>219.688608834466</v>
      </c>
      <c r="S46" s="10" t="n">
        <f aca="false">N46*F46</f>
        <v>21.6751536845824</v>
      </c>
      <c r="T46" s="17" t="n">
        <f aca="false">IF(F46=1,(B46-D46-H46)/C46-1,9)</f>
        <v>0.445009930748279</v>
      </c>
      <c r="U46" s="17" t="n">
        <f aca="false">IF(F46=1,(B46-D46-$B$14*H46)/C46-1,9)</f>
        <v>0.22250496537414</v>
      </c>
      <c r="V46" s="17" t="n">
        <f aca="false">IF(F46=1,1-(H46+C46+D46)/B46,9)</f>
        <v>0.114564977240457</v>
      </c>
      <c r="W46" s="17" t="n">
        <f aca="false">IF(F46=1,1-($B$14*H46+C46+D46)/B46,9)</f>
        <v>0.0572824886202286</v>
      </c>
    </row>
    <row r="47" customFormat="false" ht="15" hidden="false" customHeight="false" outlineLevel="0" collapsed="false">
      <c r="A47" s="0" t="n">
        <v>8</v>
      </c>
      <c r="B47" s="10" t="n">
        <f aca="false">$B$4*(1+$B$5)^(A47-1)</f>
        <v>32.1631986941798</v>
      </c>
      <c r="C47" s="10" t="n">
        <f aca="false">$B$6*(1+$B$7)^(A47-1)</f>
        <v>8.32080027567749</v>
      </c>
      <c r="D47" s="10" t="n">
        <f aca="false">$B$8*(1+$B$9)^(A47-1)</f>
        <v>1.78302863050232</v>
      </c>
      <c r="E47" s="10" t="n">
        <f aca="false">B47-C47-D47</f>
        <v>22.059369788</v>
      </c>
      <c r="F47" s="10" t="n">
        <f aca="false">IF(A47&lt;=$B$10,1,0)</f>
        <v>1</v>
      </c>
      <c r="G47" s="10" t="n">
        <f aca="false">F47*E47/$B$12</f>
        <v>18.3828081566667</v>
      </c>
      <c r="H47" s="10" t="n">
        <f aca="false">G47*$B$27</f>
        <v>18.3828081566667</v>
      </c>
      <c r="I47" s="10" t="n">
        <f aca="false">O47*$B$11*F47</f>
        <v>11.5336519638094</v>
      </c>
      <c r="J47" s="10" t="n">
        <f aca="false">H47-I47</f>
        <v>6.84915619285726</v>
      </c>
      <c r="K47" s="10" t="n">
        <f aca="false">$B$4*(1+$B$20)^(A47-1)*(1-$B$19)</f>
        <v>32.1631986941798</v>
      </c>
      <c r="L47" s="10" t="n">
        <f aca="false">$B$6*(1+$B$21)^(A47-1)*(1+$B$18)</f>
        <v>8.32080027567749</v>
      </c>
      <c r="M47" s="10" t="n">
        <f aca="false">$B$8*(1+$B$21)^(A47-1)*(1+$B$22)</f>
        <v>1.78302863050232</v>
      </c>
      <c r="N47" s="10" t="n">
        <f aca="false">K47-L47-M47</f>
        <v>22.059369788</v>
      </c>
      <c r="O47" s="10" t="n">
        <f aca="false">R46</f>
        <v>219.688608834466</v>
      </c>
      <c r="P47" s="15" t="n">
        <f aca="false">IF(F47=1,N47/H47,"")</f>
        <v>1.2</v>
      </c>
      <c r="Q47" s="15" t="n">
        <f aca="false">IF(F47=1,NPV($B$11,S47:S64)/O47,"")</f>
        <v>1.2</v>
      </c>
      <c r="R47" s="10" t="n">
        <f aca="false">O47-J47</f>
        <v>212.839452641608</v>
      </c>
      <c r="S47" s="10" t="n">
        <f aca="false">N47*F47</f>
        <v>22.059369788</v>
      </c>
      <c r="T47" s="17" t="n">
        <f aca="false">IF(F47=1,(B47-D47-H47)/C47-1,9)</f>
        <v>0.441851926440331</v>
      </c>
      <c r="U47" s="17" t="n">
        <f aca="false">IF(F47=1,(B47-D47-$B$14*H47)/C47-1,9)</f>
        <v>0.220925963220165</v>
      </c>
      <c r="V47" s="17" t="n">
        <f aca="false">IF(F47=1,1-(H47+C47+D47)/B47,9)</f>
        <v>0.114309576802093</v>
      </c>
      <c r="W47" s="17" t="n">
        <f aca="false">IF(F47=1,1-($B$14*H47+C47+D47)/B47,9)</f>
        <v>0.0571547884010466</v>
      </c>
    </row>
    <row r="48" customFormat="false" ht="15" hidden="false" customHeight="false" outlineLevel="0" collapsed="false">
      <c r="A48" s="0" t="n">
        <v>9</v>
      </c>
      <c r="B48" s="10" t="n">
        <f aca="false">$B$4*(1+$B$5)^(A48-1)</f>
        <v>32.8064626680634</v>
      </c>
      <c r="C48" s="10" t="n">
        <f aca="false">$B$6*(1+$B$7)^(A48-1)</f>
        <v>8.52882028256942</v>
      </c>
      <c r="D48" s="10" t="n">
        <f aca="false">$B$8*(1+$B$9)^(A48-1)</f>
        <v>1.82760434626488</v>
      </c>
      <c r="E48" s="10" t="n">
        <f aca="false">B48-C48-D48</f>
        <v>22.4500380392291</v>
      </c>
      <c r="F48" s="10" t="n">
        <f aca="false">IF(A48&lt;=$B$10,1,0)</f>
        <v>1</v>
      </c>
      <c r="G48" s="10" t="n">
        <f aca="false">F48*E48/$B$12</f>
        <v>18.708365032691</v>
      </c>
      <c r="H48" s="10" t="n">
        <f aca="false">G48*$B$27</f>
        <v>18.708365032691</v>
      </c>
      <c r="I48" s="10" t="n">
        <f aca="false">O48*$B$11*F48</f>
        <v>11.1740712636844</v>
      </c>
      <c r="J48" s="10" t="n">
        <f aca="false">H48-I48</f>
        <v>7.53429376900652</v>
      </c>
      <c r="K48" s="10" t="n">
        <f aca="false">$B$4*(1+$B$20)^(A48-1)*(1-$B$19)</f>
        <v>32.8064626680634</v>
      </c>
      <c r="L48" s="10" t="n">
        <f aca="false">$B$6*(1+$B$21)^(A48-1)*(1+$B$18)</f>
        <v>8.52882028256942</v>
      </c>
      <c r="M48" s="10" t="n">
        <f aca="false">$B$8*(1+$B$21)^(A48-1)*(1+$B$22)</f>
        <v>1.82760434626488</v>
      </c>
      <c r="N48" s="10" t="n">
        <f aca="false">K48-L48-M48</f>
        <v>22.4500380392291</v>
      </c>
      <c r="O48" s="10" t="n">
        <f aca="false">R47</f>
        <v>212.839452641608</v>
      </c>
      <c r="P48" s="15" t="n">
        <f aca="false">IF(F48=1,N48/H48,"")</f>
        <v>1.2</v>
      </c>
      <c r="Q48" s="15" t="n">
        <f aca="false">IF(F48=1,NPV($B$11,S48:S64)/O48,"")</f>
        <v>1.2</v>
      </c>
      <c r="R48" s="10" t="n">
        <f aca="false">O48-J48</f>
        <v>205.305158872602</v>
      </c>
      <c r="S48" s="10" t="n">
        <f aca="false">N48*F48</f>
        <v>22.4500380392291</v>
      </c>
      <c r="T48" s="17" t="n">
        <f aca="false">IF(F48=1,(B48-D48-H48)/C48-1,9)</f>
        <v>0.438709327031448</v>
      </c>
      <c r="U48" s="17" t="n">
        <f aca="false">IF(F48=1,(B48-D48-$B$14*H48)/C48-1,9)</f>
        <v>0.219354663515724</v>
      </c>
      <c r="V48" s="17" t="n">
        <f aca="false">IF(F48=1,1-(H48+C48+D48)/B48,9)</f>
        <v>0.114052924400796</v>
      </c>
      <c r="W48" s="17" t="n">
        <f aca="false">IF(F48=1,1-($B$14*H48+C48+D48)/B48,9)</f>
        <v>0.0570264622003982</v>
      </c>
    </row>
    <row r="49" customFormat="false" ht="15" hidden="false" customHeight="false" outlineLevel="0" collapsed="false">
      <c r="A49" s="0" t="n">
        <v>10</v>
      </c>
      <c r="B49" s="10" t="n">
        <f aca="false">$B$4*(1+$B$5)^(A49-1)</f>
        <v>33.4625919214247</v>
      </c>
      <c r="C49" s="10" t="n">
        <f aca="false">$B$6*(1+$B$7)^(A49-1)</f>
        <v>8.74204078963366</v>
      </c>
      <c r="D49" s="10" t="n">
        <f aca="false">$B$8*(1+$B$9)^(A49-1)</f>
        <v>1.8732944549215</v>
      </c>
      <c r="E49" s="10" t="n">
        <f aca="false">B49-C49-D49</f>
        <v>22.8472566768696</v>
      </c>
      <c r="F49" s="10" t="n">
        <f aca="false">IF(A49&lt;=$B$10,1,0)</f>
        <v>1</v>
      </c>
      <c r="G49" s="10" t="n">
        <f aca="false">F49*E49/$B$12</f>
        <v>19.039380564058</v>
      </c>
      <c r="H49" s="10" t="n">
        <f aca="false">G49*$B$27</f>
        <v>19.039380564058</v>
      </c>
      <c r="I49" s="10" t="n">
        <f aca="false">O49*$B$11*F49</f>
        <v>10.7785208408116</v>
      </c>
      <c r="J49" s="10" t="n">
        <f aca="false">H49-I49</f>
        <v>8.26085972324637</v>
      </c>
      <c r="K49" s="10" t="n">
        <f aca="false">$B$4*(1+$B$20)^(A49-1)*(1-$B$19)</f>
        <v>33.4625919214247</v>
      </c>
      <c r="L49" s="10" t="n">
        <f aca="false">$B$6*(1+$B$21)^(A49-1)*(1+$B$18)</f>
        <v>8.74204078963366</v>
      </c>
      <c r="M49" s="10" t="n">
        <f aca="false">$B$8*(1+$B$21)^(A49-1)*(1+$B$22)</f>
        <v>1.8732944549215</v>
      </c>
      <c r="N49" s="10" t="n">
        <f aca="false">K49-L49-M49</f>
        <v>22.8472566768696</v>
      </c>
      <c r="O49" s="10" t="n">
        <f aca="false">R48</f>
        <v>205.305158872602</v>
      </c>
      <c r="P49" s="15" t="n">
        <f aca="false">IF(F49=1,N49/H49,"")</f>
        <v>1.2</v>
      </c>
      <c r="Q49" s="15" t="n">
        <f aca="false">IF(F49=1,NPV($B$11,S49:S64)/O49,"")</f>
        <v>1.2</v>
      </c>
      <c r="R49" s="10" t="n">
        <f aca="false">O49-J49</f>
        <v>197.044299149355</v>
      </c>
      <c r="S49" s="10" t="n">
        <f aca="false">N49*F49</f>
        <v>22.8472566768696</v>
      </c>
      <c r="T49" s="17" t="n">
        <f aca="false">IF(F49=1,(B49-D49-H49)/C49-1,9)</f>
        <v>0.435582057375777</v>
      </c>
      <c r="U49" s="17" t="n">
        <f aca="false">IF(F49=1,(B49-D49-$B$14*H49)/C49-1,9)</f>
        <v>0.217791028687888</v>
      </c>
      <c r="V49" s="17" t="n">
        <f aca="false">IF(F49=1,1-(H49+C49+D49)/B49,9)</f>
        <v>0.113795013899493</v>
      </c>
      <c r="W49" s="17" t="n">
        <f aca="false">IF(F49=1,1-($B$14*H49+C49+D49)/B49,9)</f>
        <v>0.0568975069497465</v>
      </c>
    </row>
    <row r="50" customFormat="false" ht="15" hidden="false" customHeight="false" outlineLevel="0" collapsed="false">
      <c r="A50" s="0" t="n">
        <v>11</v>
      </c>
      <c r="B50" s="10" t="n">
        <f aca="false">$B$4*(1+$B$5)^(A50-1)</f>
        <v>34.1318437598532</v>
      </c>
      <c r="C50" s="10" t="n">
        <f aca="false">$B$6*(1+$B$7)^(A50-1)</f>
        <v>8.9605918093745</v>
      </c>
      <c r="D50" s="10" t="n">
        <f aca="false">$B$8*(1+$B$9)^(A50-1)</f>
        <v>1.92012681629453</v>
      </c>
      <c r="E50" s="10" t="n">
        <f aca="false">B50-C50-D50</f>
        <v>23.2511251341842</v>
      </c>
      <c r="F50" s="10" t="n">
        <f aca="false">IF(A50&lt;=$B$10,1,0)</f>
        <v>1</v>
      </c>
      <c r="G50" s="10" t="n">
        <f aca="false">F50*E50/$B$12</f>
        <v>19.3759376118201</v>
      </c>
      <c r="H50" s="10" t="n">
        <f aca="false">G50*$B$27</f>
        <v>19.3759376118201</v>
      </c>
      <c r="I50" s="10" t="n">
        <f aca="false">O50*$B$11*F50</f>
        <v>10.3448257053412</v>
      </c>
      <c r="J50" s="10" t="n">
        <f aca="false">H50-I50</f>
        <v>9.03111190647899</v>
      </c>
      <c r="K50" s="10" t="n">
        <f aca="false">$B$4*(1+$B$20)^(A50-1)*(1-$B$19)</f>
        <v>34.1318437598532</v>
      </c>
      <c r="L50" s="10" t="n">
        <f aca="false">$B$6*(1+$B$21)^(A50-1)*(1+$B$18)</f>
        <v>8.9605918093745</v>
      </c>
      <c r="M50" s="10" t="n">
        <f aca="false">$B$8*(1+$B$21)^(A50-1)*(1+$B$22)</f>
        <v>1.92012681629453</v>
      </c>
      <c r="N50" s="10" t="n">
        <f aca="false">K50-L50-M50</f>
        <v>23.2511251341842</v>
      </c>
      <c r="O50" s="10" t="n">
        <f aca="false">R49</f>
        <v>197.044299149355</v>
      </c>
      <c r="P50" s="15" t="n">
        <f aca="false">IF(F50=1,N50/H50,"")</f>
        <v>1.2</v>
      </c>
      <c r="Q50" s="15" t="n">
        <f aca="false">IF(F50=1,NPV($B$11,S50:S64)/O50,"")</f>
        <v>1.2</v>
      </c>
      <c r="R50" s="10" t="n">
        <f aca="false">O50-J50</f>
        <v>188.013187242876</v>
      </c>
      <c r="S50" s="10" t="n">
        <f aca="false">N50*F50</f>
        <v>23.2511251341842</v>
      </c>
      <c r="T50" s="17" t="n">
        <f aca="false">IF(F50=1,(B50-D50-H50)/C50-1,9)</f>
        <v>0.432470042694037</v>
      </c>
      <c r="U50" s="17" t="n">
        <f aca="false">IF(F50=1,(B50-D50-$B$14*H50)/C50-1,9)</f>
        <v>0.216235021347019</v>
      </c>
      <c r="V50" s="17" t="n">
        <f aca="false">IF(F50=1,1-(H50+C50+D50)/B50,9)</f>
        <v>0.113535839131027</v>
      </c>
      <c r="W50" s="17" t="n">
        <f aca="false">IF(F50=1,1-($B$14*H50+C50+D50)/B50,9)</f>
        <v>0.0567679195655133</v>
      </c>
    </row>
    <row r="51" customFormat="false" ht="15" hidden="false" customHeight="false" outlineLevel="0" collapsed="false">
      <c r="A51" s="0" t="n">
        <v>12</v>
      </c>
      <c r="B51" s="10" t="n">
        <f aca="false">$B$4*(1+$B$5)^(A51-1)</f>
        <v>34.8144806350503</v>
      </c>
      <c r="C51" s="10" t="n">
        <f aca="false">$B$6*(1+$B$7)^(A51-1)</f>
        <v>9.18460660460886</v>
      </c>
      <c r="D51" s="10" t="n">
        <f aca="false">$B$8*(1+$B$9)^(A51-1)</f>
        <v>1.9681299867019</v>
      </c>
      <c r="E51" s="10" t="n">
        <f aca="false">B51-C51-D51</f>
        <v>23.6617440437395</v>
      </c>
      <c r="F51" s="10" t="n">
        <f aca="false">IF(A51&lt;=$B$10,1,0)</f>
        <v>1</v>
      </c>
      <c r="G51" s="10" t="n">
        <f aca="false">F51*E51/$B$12</f>
        <v>19.7181200364496</v>
      </c>
      <c r="H51" s="10" t="n">
        <f aca="false">G51*$B$27</f>
        <v>19.7181200364496</v>
      </c>
      <c r="I51" s="10" t="n">
        <f aca="false">O51*$B$11*F51</f>
        <v>9.87069233025101</v>
      </c>
      <c r="J51" s="10" t="n">
        <f aca="false">H51-I51</f>
        <v>9.84742770619859</v>
      </c>
      <c r="K51" s="10" t="n">
        <f aca="false">$B$4*(1+$B$20)^(A51-1)*(1-$B$19)</f>
        <v>34.8144806350503</v>
      </c>
      <c r="L51" s="10" t="n">
        <f aca="false">$B$6*(1+$B$21)^(A51-1)*(1+$B$18)</f>
        <v>9.18460660460886</v>
      </c>
      <c r="M51" s="10" t="n">
        <f aca="false">$B$8*(1+$B$21)^(A51-1)*(1+$B$22)</f>
        <v>1.9681299867019</v>
      </c>
      <c r="N51" s="10" t="n">
        <f aca="false">K51-L51-M51</f>
        <v>23.6617440437395</v>
      </c>
      <c r="O51" s="10" t="n">
        <f aca="false">R50</f>
        <v>188.013187242876</v>
      </c>
      <c r="P51" s="15" t="n">
        <f aca="false">IF(F51=1,N51/H51,"")</f>
        <v>1.2</v>
      </c>
      <c r="Q51" s="15" t="n">
        <f aca="false">IF(F51=1,NPV($B$11,S51:S64)/O51,"")</f>
        <v>1.2</v>
      </c>
      <c r="R51" s="10" t="n">
        <f aca="false">O51-J51</f>
        <v>178.165759536678</v>
      </c>
      <c r="S51" s="10" t="n">
        <f aca="false">N51*F51</f>
        <v>23.6617440437395</v>
      </c>
      <c r="T51" s="17" t="n">
        <f aca="false">IF(F51=1,(B51-D51-H51)/C51-1,9)</f>
        <v>0.42937320857172</v>
      </c>
      <c r="U51" s="17" t="n">
        <f aca="false">IF(F51=1,(B51-D51-$B$14*H51)/C51-1,9)</f>
        <v>0.21468660428586</v>
      </c>
      <c r="V51" s="17" t="n">
        <f aca="false">IF(F51=1,1-(H51+C51+D51)/B51,9)</f>
        <v>0.113275393898009</v>
      </c>
      <c r="W51" s="17" t="n">
        <f aca="false">IF(F51=1,1-($B$14*H51+C51+D51)/B51,9)</f>
        <v>0.0566376969490043</v>
      </c>
    </row>
    <row r="52" customFormat="false" ht="15" hidden="false" customHeight="false" outlineLevel="0" collapsed="false">
      <c r="A52" s="0" t="n">
        <v>13</v>
      </c>
      <c r="B52" s="10" t="n">
        <f aca="false">$B$4*(1+$B$5)^(A52-1)</f>
        <v>35.5107702477513</v>
      </c>
      <c r="C52" s="10" t="n">
        <f aca="false">$B$6*(1+$B$7)^(A52-1)</f>
        <v>9.41422176972408</v>
      </c>
      <c r="D52" s="10" t="n">
        <f aca="false">$B$8*(1+$B$9)^(A52-1)</f>
        <v>2.01733323636945</v>
      </c>
      <c r="E52" s="10" t="n">
        <f aca="false">B52-C52-D52</f>
        <v>24.0792152416578</v>
      </c>
      <c r="F52" s="10" t="n">
        <f aca="false">IF(A52&lt;=$B$10,1,0)</f>
        <v>1</v>
      </c>
      <c r="G52" s="10" t="n">
        <f aca="false">F52*E52/$B$12</f>
        <v>20.0660127013815</v>
      </c>
      <c r="H52" s="10" t="n">
        <f aca="false">G52*$B$27</f>
        <v>20.0660127013815</v>
      </c>
      <c r="I52" s="10" t="n">
        <f aca="false">O52*$B$11*F52</f>
        <v>9.35370237567558</v>
      </c>
      <c r="J52" s="10" t="n">
        <f aca="false">H52-I52</f>
        <v>10.7123103257059</v>
      </c>
      <c r="K52" s="10" t="n">
        <f aca="false">$B$4*(1+$B$20)^(A52-1)*(1-$B$19)</f>
        <v>35.5107702477513</v>
      </c>
      <c r="L52" s="10" t="n">
        <f aca="false">$B$6*(1+$B$21)^(A52-1)*(1+$B$18)</f>
        <v>9.41422176972408</v>
      </c>
      <c r="M52" s="10" t="n">
        <f aca="false">$B$8*(1+$B$21)^(A52-1)*(1+$B$22)</f>
        <v>2.01733323636945</v>
      </c>
      <c r="N52" s="10" t="n">
        <f aca="false">K52-L52-M52</f>
        <v>24.0792152416578</v>
      </c>
      <c r="O52" s="10" t="n">
        <f aca="false">R51</f>
        <v>178.165759536678</v>
      </c>
      <c r="P52" s="15" t="n">
        <f aca="false">IF(F52=1,N52/H52,"")</f>
        <v>1.2</v>
      </c>
      <c r="Q52" s="15" t="n">
        <f aca="false">IF(F52=1,NPV($B$11,S52:S64)/O52,"")</f>
        <v>1.2</v>
      </c>
      <c r="R52" s="10" t="n">
        <f aca="false">O52-J52</f>
        <v>167.453449210972</v>
      </c>
      <c r="S52" s="10" t="n">
        <f aca="false">N52*F52</f>
        <v>24.0792152416578</v>
      </c>
      <c r="T52" s="17" t="n">
        <f aca="false">IF(F52=1,(B52-D52-H52)/C52-1,9)</f>
        <v>0.426291480957317</v>
      </c>
      <c r="U52" s="17" t="n">
        <f aca="false">IF(F52=1,(B52-D52-$B$14*H52)/C52-1,9)</f>
        <v>0.213145740478658</v>
      </c>
      <c r="V52" s="17" t="n">
        <f aca="false">IF(F52=1,1-(H52+C52+D52)/B52,9)</f>
        <v>0.113013671972672</v>
      </c>
      <c r="W52" s="17" t="n">
        <f aca="false">IF(F52=1,1-($B$14*H52+C52+D52)/B52,9)</f>
        <v>0.056506835986336</v>
      </c>
    </row>
    <row r="53" customFormat="false" ht="15" hidden="false" customHeight="false" outlineLevel="0" collapsed="false">
      <c r="A53" s="0" t="n">
        <v>14</v>
      </c>
      <c r="B53" s="10" t="n">
        <f aca="false">$B$4*(1+$B$5)^(A53-1)</f>
        <v>36.2209856527063</v>
      </c>
      <c r="C53" s="10" t="n">
        <f aca="false">$B$6*(1+$B$7)^(A53-1)</f>
        <v>9.64957731396718</v>
      </c>
      <c r="D53" s="10" t="n">
        <f aca="false">$B$8*(1+$B$9)^(A53-1)</f>
        <v>2.06776656727868</v>
      </c>
      <c r="E53" s="10" t="n">
        <f aca="false">B53-C53-D53</f>
        <v>24.5036417714604</v>
      </c>
      <c r="F53" s="10" t="n">
        <f aca="false">IF(A53&lt;=$B$10,1,0)</f>
        <v>1</v>
      </c>
      <c r="G53" s="10" t="n">
        <f aca="false">F53*E53/$B$12</f>
        <v>20.419701476217</v>
      </c>
      <c r="H53" s="10" t="n">
        <f aca="false">G53*$B$27</f>
        <v>20.419701476217</v>
      </c>
      <c r="I53" s="10" t="n">
        <f aca="false">O53*$B$11*F53</f>
        <v>8.79130608357603</v>
      </c>
      <c r="J53" s="10" t="n">
        <f aca="false">H53-I53</f>
        <v>11.628395392641</v>
      </c>
      <c r="K53" s="10" t="n">
        <f aca="false">$B$4*(1+$B$20)^(A53-1)*(1-$B$19)</f>
        <v>36.2209856527063</v>
      </c>
      <c r="L53" s="10" t="n">
        <f aca="false">$B$6*(1+$B$21)^(A53-1)*(1+$B$18)</f>
        <v>9.64957731396718</v>
      </c>
      <c r="M53" s="10" t="n">
        <f aca="false">$B$8*(1+$B$21)^(A53-1)*(1+$B$22)</f>
        <v>2.06776656727868</v>
      </c>
      <c r="N53" s="10" t="n">
        <f aca="false">K53-L53-M53</f>
        <v>24.5036417714604</v>
      </c>
      <c r="O53" s="10" t="n">
        <f aca="false">R52</f>
        <v>167.453449210972</v>
      </c>
      <c r="P53" s="15" t="n">
        <f aca="false">IF(F53=1,N53/H53,"")</f>
        <v>1.2</v>
      </c>
      <c r="Q53" s="15" t="n">
        <f aca="false">IF(F53=1,NPV($B$11,S53:S64)/O53,"")</f>
        <v>1.2</v>
      </c>
      <c r="R53" s="10" t="n">
        <f aca="false">O53-J53</f>
        <v>155.825053818331</v>
      </c>
      <c r="S53" s="10" t="n">
        <f aca="false">N53*F53</f>
        <v>24.5036417714604</v>
      </c>
      <c r="T53" s="17" t="n">
        <f aca="false">IF(F53=1,(B53-D53-H53)/C53-1,9)</f>
        <v>0.423224786160545</v>
      </c>
      <c r="U53" s="17" t="n">
        <f aca="false">IF(F53=1,(B53-D53-$B$14*H53)/C53-1,9)</f>
        <v>0.211612393080272</v>
      </c>
      <c r="V53" s="17" t="n">
        <f aca="false">IF(F53=1,1-(H53+C53+D53)/B53,9)</f>
        <v>0.112750667096721</v>
      </c>
      <c r="W53" s="17" t="n">
        <f aca="false">IF(F53=1,1-($B$14*H53+C53+D53)/B53,9)</f>
        <v>0.0563753335483604</v>
      </c>
    </row>
    <row r="54" customFormat="false" ht="15" hidden="false" customHeight="false" outlineLevel="0" collapsed="false">
      <c r="A54" s="0" t="n">
        <v>15</v>
      </c>
      <c r="B54" s="10" t="n">
        <f aca="false">$B$4*(1+$B$5)^(A54-1)</f>
        <v>36.9454053657604</v>
      </c>
      <c r="C54" s="10" t="n">
        <f aca="false">$B$6*(1+$B$7)^(A54-1)</f>
        <v>9.89081674681636</v>
      </c>
      <c r="D54" s="10" t="n">
        <f aca="false">$B$8*(1+$B$9)^(A54-1)</f>
        <v>2.11946073146065</v>
      </c>
      <c r="E54" s="10" t="n">
        <f aca="false">B54-C54-D54</f>
        <v>24.9351278874834</v>
      </c>
      <c r="F54" s="10" t="n">
        <f aca="false">IF(A54&lt;=$B$10,1,0)</f>
        <v>1</v>
      </c>
      <c r="G54" s="10" t="n">
        <f aca="false">F54*E54/$B$12</f>
        <v>20.7792732395695</v>
      </c>
      <c r="H54" s="10" t="n">
        <f aca="false">G54*$B$27</f>
        <v>20.7792732395695</v>
      </c>
      <c r="I54" s="10" t="n">
        <f aca="false">O54*$B$11*F54</f>
        <v>8.18081532546237</v>
      </c>
      <c r="J54" s="10" t="n">
        <f aca="false">H54-I54</f>
        <v>12.5984579141071</v>
      </c>
      <c r="K54" s="10" t="n">
        <f aca="false">$B$4*(1+$B$20)^(A54-1)*(1-$B$19)</f>
        <v>36.9454053657604</v>
      </c>
      <c r="L54" s="10" t="n">
        <f aca="false">$B$6*(1+$B$21)^(A54-1)*(1+$B$18)</f>
        <v>9.89081674681636</v>
      </c>
      <c r="M54" s="10" t="n">
        <f aca="false">$B$8*(1+$B$21)^(A54-1)*(1+$B$22)</f>
        <v>2.11946073146065</v>
      </c>
      <c r="N54" s="10" t="n">
        <f aca="false">K54-L54-M54</f>
        <v>24.9351278874834</v>
      </c>
      <c r="O54" s="10" t="n">
        <f aca="false">R53</f>
        <v>155.825053818331</v>
      </c>
      <c r="P54" s="15" t="n">
        <f aca="false">IF(F54=1,N54/H54,"")</f>
        <v>1.2</v>
      </c>
      <c r="Q54" s="15" t="n">
        <f aca="false">IF(F54=1,NPV($B$11,S54:S64)/O54,"")</f>
        <v>1.2</v>
      </c>
      <c r="R54" s="10" t="n">
        <f aca="false">O54-J54</f>
        <v>143.226595904224</v>
      </c>
      <c r="S54" s="10" t="n">
        <f aca="false">N54*F54</f>
        <v>24.9351278874834</v>
      </c>
      <c r="T54" s="17" t="n">
        <f aca="false">IF(F54=1,(B54-D54-H54)/C54-1,9)</f>
        <v>0.420173050850586</v>
      </c>
      <c r="U54" s="17" t="n">
        <f aca="false">IF(F54=1,(B54-D54-$B$14*H54)/C54-1,9)</f>
        <v>0.210086525425293</v>
      </c>
      <c r="V54" s="17" t="n">
        <f aca="false">IF(F54=1,1-(H54+C54+D54)/B54,9)</f>
        <v>0.112486372981182</v>
      </c>
      <c r="W54" s="17" t="n">
        <f aca="false">IF(F54=1,1-($B$14*H54+C54+D54)/B54,9)</f>
        <v>0.0562431864905911</v>
      </c>
    </row>
    <row r="55" customFormat="false" ht="15" hidden="false" customHeight="false" outlineLevel="0" collapsed="false">
      <c r="A55" s="0" t="n">
        <v>16</v>
      </c>
      <c r="B55" s="10" t="n">
        <f aca="false">$B$4*(1+$B$5)^(A55-1)</f>
        <v>37.6843134730756</v>
      </c>
      <c r="C55" s="10" t="n">
        <f aca="false">$B$6*(1+$B$7)^(A55-1)</f>
        <v>10.1380871654868</v>
      </c>
      <c r="D55" s="10" t="n">
        <f aca="false">$B$8*(1+$B$9)^(A55-1)</f>
        <v>2.17244724974716</v>
      </c>
      <c r="E55" s="10" t="n">
        <f aca="false">B55-C55-D55</f>
        <v>25.3737790578417</v>
      </c>
      <c r="F55" s="10" t="n">
        <f aca="false">IF(A55&lt;=$B$10,1,0)</f>
        <v>1</v>
      </c>
      <c r="G55" s="10" t="n">
        <f aca="false">F55*E55/$B$12</f>
        <v>21.1448158815348</v>
      </c>
      <c r="H55" s="10" t="n">
        <f aca="false">G55*$B$27</f>
        <v>21.1448158815348</v>
      </c>
      <c r="I55" s="10" t="n">
        <f aca="false">O55*$B$11*F55</f>
        <v>7.51939628497175</v>
      </c>
      <c r="J55" s="10" t="n">
        <f aca="false">H55-I55</f>
        <v>13.625419596563</v>
      </c>
      <c r="K55" s="10" t="n">
        <f aca="false">$B$4*(1+$B$20)^(A55-1)*(1-$B$19)</f>
        <v>37.6843134730756</v>
      </c>
      <c r="L55" s="10" t="n">
        <f aca="false">$B$6*(1+$B$21)^(A55-1)*(1+$B$18)</f>
        <v>10.1380871654868</v>
      </c>
      <c r="M55" s="10" t="n">
        <f aca="false">$B$8*(1+$B$21)^(A55-1)*(1+$B$22)</f>
        <v>2.17244724974716</v>
      </c>
      <c r="N55" s="10" t="n">
        <f aca="false">K55-L55-M55</f>
        <v>25.3737790578417</v>
      </c>
      <c r="O55" s="10" t="n">
        <f aca="false">R54</f>
        <v>143.226595904224</v>
      </c>
      <c r="P55" s="15" t="n">
        <f aca="false">IF(F55=1,N55/H55,"")</f>
        <v>1.2</v>
      </c>
      <c r="Q55" s="15" t="n">
        <f aca="false">IF(F55=1,NPV($B$11,S55:S64)/O55,"")</f>
        <v>1.2</v>
      </c>
      <c r="R55" s="10" t="n">
        <f aca="false">O55-J55</f>
        <v>129.601176307661</v>
      </c>
      <c r="S55" s="10" t="n">
        <f aca="false">N55*F55</f>
        <v>25.3737790578417</v>
      </c>
      <c r="T55" s="17" t="n">
        <f aca="false">IF(F55=1,(B55-D55-H55)/C55-1,9)</f>
        <v>0.417136202054335</v>
      </c>
      <c r="U55" s="17" t="n">
        <f aca="false">IF(F55=1,(B55-D55-$B$14*H55)/C55-1,9)</f>
        <v>0.208568101027167</v>
      </c>
      <c r="V55" s="17" t="n">
        <f aca="false">IF(F55=1,1-(H55+C55+D55)/B55,9)</f>
        <v>0.112220783306253</v>
      </c>
      <c r="W55" s="17" t="n">
        <f aca="false">IF(F55=1,1-($B$14*H55+C55+D55)/B55,9)</f>
        <v>0.0561103916531266</v>
      </c>
    </row>
    <row r="56" customFormat="false" ht="15" hidden="false" customHeight="false" outlineLevel="0" collapsed="false">
      <c r="A56" s="0" t="n">
        <v>17</v>
      </c>
      <c r="B56" s="10" t="n">
        <f aca="false">$B$4*(1+$B$5)^(A56-1)</f>
        <v>38.4379997425372</v>
      </c>
      <c r="C56" s="10" t="n">
        <f aca="false">$B$6*(1+$B$7)^(A56-1)</f>
        <v>10.3915393446239</v>
      </c>
      <c r="D56" s="10" t="n">
        <f aca="false">$B$8*(1+$B$9)^(A56-1)</f>
        <v>2.22675843099084</v>
      </c>
      <c r="E56" s="10" t="n">
        <f aca="false">B56-C56-D56</f>
        <v>25.8197019669224</v>
      </c>
      <c r="F56" s="10" t="n">
        <f aca="false">IF(A56&lt;=$B$10,1,0)</f>
        <v>1</v>
      </c>
      <c r="G56" s="10" t="n">
        <f aca="false">F56*E56/$B$12</f>
        <v>21.5164183057686</v>
      </c>
      <c r="H56" s="10" t="n">
        <f aca="false">G56*$B$27</f>
        <v>21.5164183057686</v>
      </c>
      <c r="I56" s="10" t="n">
        <f aca="false">O56*$B$11*F56</f>
        <v>6.80406175615219</v>
      </c>
      <c r="J56" s="10" t="n">
        <f aca="false">H56-I56</f>
        <v>14.7123565496165</v>
      </c>
      <c r="K56" s="10" t="n">
        <f aca="false">$B$4*(1+$B$20)^(A56-1)*(1-$B$19)</f>
        <v>38.4379997425372</v>
      </c>
      <c r="L56" s="10" t="n">
        <f aca="false">$B$6*(1+$B$21)^(A56-1)*(1+$B$18)</f>
        <v>10.3915393446239</v>
      </c>
      <c r="M56" s="10" t="n">
        <f aca="false">$B$8*(1+$B$21)^(A56-1)*(1+$B$22)</f>
        <v>2.22675843099084</v>
      </c>
      <c r="N56" s="10" t="n">
        <f aca="false">K56-L56-M56</f>
        <v>25.8197019669224</v>
      </c>
      <c r="O56" s="10" t="n">
        <f aca="false">R55</f>
        <v>129.601176307661</v>
      </c>
      <c r="P56" s="15" t="n">
        <f aca="false">IF(F56=1,N56/H56,"")</f>
        <v>1.2</v>
      </c>
      <c r="Q56" s="15" t="n">
        <f aca="false">IF(F56=1,NPV($B$11,S56:S64)/O56,"")</f>
        <v>1.2</v>
      </c>
      <c r="R56" s="10" t="n">
        <f aca="false">O56-J56</f>
        <v>114.888819758044</v>
      </c>
      <c r="S56" s="10" t="n">
        <f aca="false">N56*F56</f>
        <v>25.8197019669224</v>
      </c>
      <c r="T56" s="17" t="n">
        <f aca="false">IF(F56=1,(B56-D56-H56)/C56-1,9)</f>
        <v>0.414114167154651</v>
      </c>
      <c r="U56" s="17" t="n">
        <f aca="false">IF(F56=1,(B56-D56-$B$14*H56)/C56-1,9)</f>
        <v>0.207057083577325</v>
      </c>
      <c r="V56" s="17" t="n">
        <f aca="false">IF(F56=1,1-(H56+C56+D56)/B56,9)</f>
        <v>0.111953891721153</v>
      </c>
      <c r="W56" s="17" t="n">
        <f aca="false">IF(F56=1,1-($B$14*H56+C56+D56)/B56,9)</f>
        <v>0.0559769458605766</v>
      </c>
    </row>
    <row r="57" customFormat="false" ht="15" hidden="false" customHeight="false" outlineLevel="0" collapsed="false">
      <c r="A57" s="0" t="n">
        <v>18</v>
      </c>
      <c r="B57" s="10" t="n">
        <f aca="false">$B$4*(1+$B$5)^(A57-1)</f>
        <v>39.2067597373879</v>
      </c>
      <c r="C57" s="10" t="n">
        <f aca="false">$B$6*(1+$B$7)^(A57-1)</f>
        <v>10.6513278282395</v>
      </c>
      <c r="D57" s="10" t="n">
        <f aca="false">$B$8*(1+$B$9)^(A57-1)</f>
        <v>2.28242739176561</v>
      </c>
      <c r="E57" s="10" t="n">
        <f aca="false">B57-C57-D57</f>
        <v>26.2730045173828</v>
      </c>
      <c r="F57" s="10" t="n">
        <f aca="false">IF(A57&lt;=$B$10,1,0)</f>
        <v>1</v>
      </c>
      <c r="G57" s="10" t="n">
        <f aca="false">F57*E57/$B$12</f>
        <v>21.8941704311523</v>
      </c>
      <c r="H57" s="10" t="n">
        <f aca="false">G57*$B$27</f>
        <v>21.8941704311523</v>
      </c>
      <c r="I57" s="10" t="n">
        <f aca="false">O57*$B$11*F57</f>
        <v>6.03166303729733</v>
      </c>
      <c r="J57" s="10" t="n">
        <f aca="false">H57-I57</f>
        <v>15.862507393855</v>
      </c>
      <c r="K57" s="10" t="n">
        <f aca="false">$B$4*(1+$B$20)^(A57-1)*(1-$B$19)</f>
        <v>39.2067597373879</v>
      </c>
      <c r="L57" s="10" t="n">
        <f aca="false">$B$6*(1+$B$21)^(A57-1)*(1+$B$18)</f>
        <v>10.6513278282395</v>
      </c>
      <c r="M57" s="10" t="n">
        <f aca="false">$B$8*(1+$B$21)^(A57-1)*(1+$B$22)</f>
        <v>2.28242739176561</v>
      </c>
      <c r="N57" s="10" t="n">
        <f aca="false">K57-L57-M57</f>
        <v>26.2730045173828</v>
      </c>
      <c r="O57" s="10" t="n">
        <f aca="false">R56</f>
        <v>114.888819758044</v>
      </c>
      <c r="P57" s="15" t="n">
        <f aca="false">IF(F57=1,N57/H57,"")</f>
        <v>1.2</v>
      </c>
      <c r="Q57" s="15" t="n">
        <f aca="false">IF(F57=1,NPV($B$11,S57:S64)/O57,"")</f>
        <v>1.2</v>
      </c>
      <c r="R57" s="10" t="n">
        <f aca="false">O57-J57</f>
        <v>99.0263123641893</v>
      </c>
      <c r="S57" s="10" t="n">
        <f aca="false">N57*F57</f>
        <v>26.2730045173828</v>
      </c>
      <c r="T57" s="17" t="n">
        <f aca="false">IF(F57=1,(B57-D57-H57)/C57-1,9)</f>
        <v>0.411106873888624</v>
      </c>
      <c r="U57" s="17" t="n">
        <f aca="false">IF(F57=1,(B57-D57-$B$14*H57)/C57-1,9)</f>
        <v>0.205553436944312</v>
      </c>
      <c r="V57" s="17" t="n">
        <f aca="false">IF(F57=1,1-(H57+C57+D57)/B57,9)</f>
        <v>0.111685691843969</v>
      </c>
      <c r="W57" s="17" t="n">
        <f aca="false">IF(F57=1,1-($B$14*H57+C57+D57)/B57,9)</f>
        <v>0.0558428459219847</v>
      </c>
    </row>
    <row r="58" customFormat="false" ht="15" hidden="false" customHeight="false" outlineLevel="0" collapsed="false">
      <c r="A58" s="0" t="n">
        <v>19</v>
      </c>
      <c r="B58" s="10" t="n">
        <f aca="false">$B$4*(1+$B$5)^(A58-1)</f>
        <v>39.9908949321357</v>
      </c>
      <c r="C58" s="10" t="n">
        <f aca="false">$B$6*(1+$B$7)^(A58-1)</f>
        <v>10.9176110239455</v>
      </c>
      <c r="D58" s="10" t="n">
        <f aca="false">$B$8*(1+$B$9)^(A58-1)</f>
        <v>2.33948807655975</v>
      </c>
      <c r="E58" s="10" t="n">
        <f aca="false">B58-C58-D58</f>
        <v>26.7337958316304</v>
      </c>
      <c r="F58" s="10" t="n">
        <f aca="false">IF(A58&lt;=$B$10,1,0)</f>
        <v>1</v>
      </c>
      <c r="G58" s="10" t="n">
        <f aca="false">F58*E58/$B$12</f>
        <v>22.2781631930253</v>
      </c>
      <c r="H58" s="10" t="n">
        <f aca="false">G58*$B$27</f>
        <v>22.2781631930253</v>
      </c>
      <c r="I58" s="10" t="n">
        <f aca="false">O58*$B$11*F58</f>
        <v>5.19888139911994</v>
      </c>
      <c r="J58" s="10" t="n">
        <f aca="false">H58-I58</f>
        <v>17.0792817939054</v>
      </c>
      <c r="K58" s="10" t="n">
        <f aca="false">$B$4*(1+$B$20)^(A58-1)*(1-$B$19)</f>
        <v>39.9908949321357</v>
      </c>
      <c r="L58" s="10" t="n">
        <f aca="false">$B$6*(1+$B$21)^(A58-1)*(1+$B$18)</f>
        <v>10.9176110239455</v>
      </c>
      <c r="M58" s="10" t="n">
        <f aca="false">$B$8*(1+$B$21)^(A58-1)*(1+$B$22)</f>
        <v>2.33948807655975</v>
      </c>
      <c r="N58" s="10" t="n">
        <f aca="false">K58-L58-M58</f>
        <v>26.7337958316304</v>
      </c>
      <c r="O58" s="10" t="n">
        <f aca="false">R57</f>
        <v>99.0263123641893</v>
      </c>
      <c r="P58" s="15" t="n">
        <f aca="false">IF(F58=1,N58/H58,"")</f>
        <v>1.2</v>
      </c>
      <c r="Q58" s="15" t="n">
        <f aca="false">IF(F58=1,NPV($B$11,S58:S64)/O58,"")</f>
        <v>1.2</v>
      </c>
      <c r="R58" s="10" t="n">
        <f aca="false">O58-J58</f>
        <v>81.9470305702839</v>
      </c>
      <c r="S58" s="10" t="n">
        <f aca="false">N58*F58</f>
        <v>26.7337958316304</v>
      </c>
      <c r="T58" s="17" t="n">
        <f aca="false">IF(F58=1,(B58-D58-H58)/C58-1,9)</f>
        <v>0.408114250345845</v>
      </c>
      <c r="U58" s="17" t="n">
        <f aca="false">IF(F58=1,(B58-D58-$B$14*H58)/C58-1,9)</f>
        <v>0.204057125172922</v>
      </c>
      <c r="V58" s="17" t="n">
        <f aca="false">IF(F58=1,1-(H58+C58+D58)/B58,9)</f>
        <v>0.111416177261505</v>
      </c>
      <c r="W58" s="17" t="n">
        <f aca="false">IF(F58=1,1-($B$14*H58+C58+D58)/B58,9)</f>
        <v>0.0557080886307526</v>
      </c>
    </row>
    <row r="59" customFormat="false" ht="15" hidden="false" customHeight="false" outlineLevel="0" collapsed="false">
      <c r="A59" s="0" t="n">
        <v>20</v>
      </c>
      <c r="B59" s="10" t="n">
        <f aca="false">$B$4*(1+$B$5)^(A59-1)</f>
        <v>40.7907128307784</v>
      </c>
      <c r="C59" s="10" t="n">
        <f aca="false">$B$6*(1+$B$7)^(A59-1)</f>
        <v>11.1905512995442</v>
      </c>
      <c r="D59" s="10" t="n">
        <f aca="false">$B$8*(1+$B$9)^(A59-1)</f>
        <v>2.39797527847375</v>
      </c>
      <c r="E59" s="10" t="n">
        <f aca="false">B59-C59-D59</f>
        <v>27.2021862527605</v>
      </c>
      <c r="F59" s="10" t="n">
        <f aca="false">IF(A59&lt;=$B$10,1,0)</f>
        <v>1</v>
      </c>
      <c r="G59" s="10" t="n">
        <f aca="false">F59*E59/$B$12</f>
        <v>22.6684885439671</v>
      </c>
      <c r="H59" s="10" t="n">
        <f aca="false">G59*$B$27</f>
        <v>22.6684885439671</v>
      </c>
      <c r="I59" s="10" t="n">
        <f aca="false">O59*$B$11*F59</f>
        <v>4.30221910493991</v>
      </c>
      <c r="J59" s="10" t="n">
        <f aca="false">H59-I59</f>
        <v>18.3662694390272</v>
      </c>
      <c r="K59" s="10" t="n">
        <f aca="false">$B$4*(1+$B$20)^(A59-1)*(1-$B$19)</f>
        <v>40.7907128307784</v>
      </c>
      <c r="L59" s="10" t="n">
        <f aca="false">$B$6*(1+$B$21)^(A59-1)*(1+$B$18)</f>
        <v>11.1905512995442</v>
      </c>
      <c r="M59" s="10" t="n">
        <f aca="false">$B$8*(1+$B$21)^(A59-1)*(1+$B$22)</f>
        <v>2.39797527847375</v>
      </c>
      <c r="N59" s="10" t="n">
        <f aca="false">K59-L59-M59</f>
        <v>27.2021862527605</v>
      </c>
      <c r="O59" s="10" t="n">
        <f aca="false">R58</f>
        <v>81.9470305702839</v>
      </c>
      <c r="P59" s="15" t="n">
        <f aca="false">IF(F59=1,N59/H59,"")</f>
        <v>1.2</v>
      </c>
      <c r="Q59" s="15" t="n">
        <f aca="false">IF(F59=1,NPV($B$11,S59:S64)/O59,"")</f>
        <v>1.2</v>
      </c>
      <c r="R59" s="10" t="n">
        <f aca="false">O59-J59</f>
        <v>63.5807611312568</v>
      </c>
      <c r="S59" s="10" t="n">
        <f aca="false">N59*F59</f>
        <v>27.2021862527605</v>
      </c>
      <c r="T59" s="17" t="n">
        <f aca="false">IF(F59=1,(B59-D59-H59)/C59-1,9)</f>
        <v>0.40513622496669</v>
      </c>
      <c r="U59" s="17" t="n">
        <f aca="false">IF(F59=1,(B59-D59-$B$14*H59)/C59-1,9)</f>
        <v>0.202568112483345</v>
      </c>
      <c r="V59" s="17" t="n">
        <f aca="false">IF(F59=1,1-(H59+C59+D59)/B59,9)</f>
        <v>0.111145341529127</v>
      </c>
      <c r="W59" s="17" t="n">
        <f aca="false">IF(F59=1,1-($B$14*H59+C59+D59)/B59,9)</f>
        <v>0.0555726707645636</v>
      </c>
    </row>
    <row r="60" customFormat="false" ht="15" hidden="false" customHeight="false" outlineLevel="0" collapsed="false">
      <c r="A60" s="0" t="n">
        <v>21</v>
      </c>
      <c r="B60" s="10" t="n">
        <f aca="false">$B$4*(1+$B$5)^(A60-1)</f>
        <v>41.6065270873939</v>
      </c>
      <c r="C60" s="10" t="n">
        <f aca="false">$B$6*(1+$B$7)^(A60-1)</f>
        <v>11.4703150820328</v>
      </c>
      <c r="D60" s="10" t="n">
        <f aca="false">$B$8*(1+$B$9)^(A60-1)</f>
        <v>2.45792466043559</v>
      </c>
      <c r="E60" s="10" t="n">
        <f aca="false">B60-C60-D60</f>
        <v>27.6782873449256</v>
      </c>
      <c r="F60" s="10" t="n">
        <f aca="false">IF(A60&lt;=$B$10,1,0)</f>
        <v>1</v>
      </c>
      <c r="G60" s="10" t="n">
        <f aca="false">F60*E60/$B$12</f>
        <v>23.0652394541047</v>
      </c>
      <c r="H60" s="10" t="n">
        <f aca="false">G60*$B$27</f>
        <v>23.0652394541047</v>
      </c>
      <c r="I60" s="10" t="n">
        <f aca="false">O60*$B$11*F60</f>
        <v>3.33798995939098</v>
      </c>
      <c r="J60" s="10" t="n">
        <f aca="false">H60-I60</f>
        <v>19.7272494947137</v>
      </c>
      <c r="K60" s="10" t="n">
        <f aca="false">$B$4*(1+$B$20)^(A60-1)*(1-$B$19)</f>
        <v>41.6065270873939</v>
      </c>
      <c r="L60" s="10" t="n">
        <f aca="false">$B$6*(1+$B$21)^(A60-1)*(1+$B$18)</f>
        <v>11.4703150820328</v>
      </c>
      <c r="M60" s="10" t="n">
        <f aca="false">$B$8*(1+$B$21)^(A60-1)*(1+$B$22)</f>
        <v>2.45792466043559</v>
      </c>
      <c r="N60" s="10" t="n">
        <f aca="false">K60-L60-M60</f>
        <v>27.6782873449256</v>
      </c>
      <c r="O60" s="10" t="n">
        <f aca="false">R59</f>
        <v>63.5807611312568</v>
      </c>
      <c r="P60" s="15" t="n">
        <f aca="false">IF(F60=1,N60/H60,"")</f>
        <v>1.2</v>
      </c>
      <c r="Q60" s="15" t="n">
        <f aca="false">IF(F60=1,NPV($B$11,S60:S64)/O60,"")</f>
        <v>1.2</v>
      </c>
      <c r="R60" s="10" t="n">
        <f aca="false">O60-J60</f>
        <v>43.8535116365431</v>
      </c>
      <c r="S60" s="10" t="n">
        <f aca="false">N60*F60</f>
        <v>27.6782873449256</v>
      </c>
      <c r="T60" s="17" t="n">
        <f aca="false">IF(F60=1,(B60-D60-H60)/C60-1,9)</f>
        <v>0.402172726540604</v>
      </c>
      <c r="U60" s="17" t="n">
        <f aca="false">IF(F60=1,(B60-D60-$B$14*H60)/C60-1,9)</f>
        <v>0.201086363270302</v>
      </c>
      <c r="V60" s="17" t="n">
        <f aca="false">IF(F60=1,1-(H60+C60+D60)/B60,9)</f>
        <v>0.11087317817061</v>
      </c>
      <c r="W60" s="17" t="n">
        <f aca="false">IF(F60=1,1-($B$14*H60+C60+D60)/B60,9)</f>
        <v>0.0554365890853047</v>
      </c>
    </row>
    <row r="61" customFormat="false" ht="15" hidden="false" customHeight="false" outlineLevel="0" collapsed="false">
      <c r="A61" s="0" t="n">
        <v>22</v>
      </c>
      <c r="B61" s="10" t="n">
        <f aca="false">$B$4*(1+$B$5)^(A61-1)</f>
        <v>42.4386576291418</v>
      </c>
      <c r="C61" s="10" t="n">
        <f aca="false">$B$6*(1+$B$7)^(A61-1)</f>
        <v>11.7570729590836</v>
      </c>
      <c r="D61" s="10" t="n">
        <f aca="false">$B$8*(1+$B$9)^(A61-1)</f>
        <v>2.51937277694648</v>
      </c>
      <c r="E61" s="10" t="n">
        <f aca="false">B61-C61-D61</f>
        <v>28.1622118931118</v>
      </c>
      <c r="F61" s="10" t="n">
        <f aca="false">IF(A61&lt;=$B$10,1,0)</f>
        <v>1</v>
      </c>
      <c r="G61" s="10" t="n">
        <f aca="false">F61*E61/$B$12</f>
        <v>23.4685099109265</v>
      </c>
      <c r="H61" s="10" t="n">
        <f aca="false">G61*$B$27</f>
        <v>23.4685099109265</v>
      </c>
      <c r="I61" s="10" t="n">
        <f aca="false">O61*$B$11*F61</f>
        <v>2.30230936091851</v>
      </c>
      <c r="J61" s="10" t="n">
        <f aca="false">H61-I61</f>
        <v>21.1662005500079</v>
      </c>
      <c r="K61" s="10" t="n">
        <f aca="false">$B$4*(1+$B$20)^(A61-1)*(1-$B$19)</f>
        <v>42.4386576291418</v>
      </c>
      <c r="L61" s="10" t="n">
        <f aca="false">$B$6*(1+$B$21)^(A61-1)*(1+$B$18)</f>
        <v>11.7570729590836</v>
      </c>
      <c r="M61" s="10" t="n">
        <f aca="false">$B$8*(1+$B$21)^(A61-1)*(1+$B$22)</f>
        <v>2.51937277694648</v>
      </c>
      <c r="N61" s="10" t="n">
        <f aca="false">K61-L61-M61</f>
        <v>28.1622118931118</v>
      </c>
      <c r="O61" s="10" t="n">
        <f aca="false">R60</f>
        <v>43.8535116365431</v>
      </c>
      <c r="P61" s="15" t="n">
        <f aca="false">IF(F61=1,N61/H61,"")</f>
        <v>1.2</v>
      </c>
      <c r="Q61" s="15" t="n">
        <f aca="false">IF(F61=1,NPV($B$11,S61:S64)/O61,"")</f>
        <v>1.2</v>
      </c>
      <c r="R61" s="10" t="n">
        <f aca="false">O61-J61</f>
        <v>22.6873110865352</v>
      </c>
      <c r="S61" s="10" t="n">
        <f aca="false">N61*F61</f>
        <v>28.1622118931118</v>
      </c>
      <c r="T61" s="17" t="n">
        <f aca="false">IF(F61=1,(B61-D61-H61)/C61-1,9)</f>
        <v>0.399223684204401</v>
      </c>
      <c r="U61" s="17" t="n">
        <f aca="false">IF(F61=1,(B61-D61-$B$14*H61)/C61-1,9)</f>
        <v>0.199611842102201</v>
      </c>
      <c r="V61" s="17" t="n">
        <f aca="false">IF(F61=1,1-(H61+C61+D61)/B61,9)</f>
        <v>0.110599680677982</v>
      </c>
      <c r="W61" s="17" t="n">
        <f aca="false">IF(F61=1,1-($B$14*H61+C61+D61)/B61,9)</f>
        <v>0.0552998403389909</v>
      </c>
    </row>
    <row r="62" customFormat="false" ht="15" hidden="false" customHeight="false" outlineLevel="0" collapsed="false">
      <c r="A62" s="0" t="n">
        <v>23</v>
      </c>
      <c r="B62" s="10" t="n">
        <f aca="false">$B$4*(1+$B$5)^(A62-1)</f>
        <v>43.2874307817247</v>
      </c>
      <c r="C62" s="10" t="n">
        <f aca="false">$B$6*(1+$B$7)^(A62-1)</f>
        <v>12.0509997830607</v>
      </c>
      <c r="D62" s="10" t="n">
        <f aca="false">$B$8*(1+$B$9)^(A62-1)</f>
        <v>2.58235709637014</v>
      </c>
      <c r="E62" s="10" t="n">
        <f aca="false">B62-C62-D62</f>
        <v>28.6540739022938</v>
      </c>
      <c r="F62" s="10" t="n">
        <f aca="false">IF(A62&lt;=$B$10,1,0)</f>
        <v>1</v>
      </c>
      <c r="G62" s="10" t="n">
        <f aca="false">F62*E62/$B$12</f>
        <v>23.8783949185782</v>
      </c>
      <c r="H62" s="10" t="n">
        <f aca="false">G62*$B$27</f>
        <v>23.8783949185782</v>
      </c>
      <c r="I62" s="10" t="n">
        <f aca="false">O62*$B$11*F62</f>
        <v>1.1910838320431</v>
      </c>
      <c r="J62" s="10" t="n">
        <f aca="false">H62-I62</f>
        <v>22.6873110865351</v>
      </c>
      <c r="K62" s="10" t="n">
        <f aca="false">$B$4*(1+$B$20)^(A62-1)*(1-$B$19)</f>
        <v>43.2874307817247</v>
      </c>
      <c r="L62" s="10" t="n">
        <f aca="false">$B$6*(1+$B$21)^(A62-1)*(1+$B$18)</f>
        <v>12.0509997830607</v>
      </c>
      <c r="M62" s="10" t="n">
        <f aca="false">$B$8*(1+$B$21)^(A62-1)*(1+$B$22)</f>
        <v>2.58235709637014</v>
      </c>
      <c r="N62" s="10" t="n">
        <f aca="false">K62-L62-M62</f>
        <v>28.6540739022938</v>
      </c>
      <c r="O62" s="10" t="n">
        <f aca="false">R61</f>
        <v>22.6873110865352</v>
      </c>
      <c r="P62" s="15" t="n">
        <f aca="false">IF(F62=1,N62/H62,"")</f>
        <v>1.2</v>
      </c>
      <c r="Q62" s="15" t="n">
        <f aca="false">IF(F62=1,NPV($B$11,S62:S64)/O62,"")</f>
        <v>1.2</v>
      </c>
      <c r="R62" s="10" t="n">
        <f aca="false">O62-J62</f>
        <v>0</v>
      </c>
      <c r="S62" s="10" t="n">
        <f aca="false">N62*F62</f>
        <v>28.6540739022938</v>
      </c>
      <c r="T62" s="17" t="n">
        <f aca="false">IF(F62=1,(B62-D62-H62)/C62-1,9)</f>
        <v>0.396289027440571</v>
      </c>
      <c r="U62" s="17" t="n">
        <f aca="false">IF(F62=1,(B62-D62-$B$14*H62)/C62-1,9)</f>
        <v>0.198144513720285</v>
      </c>
      <c r="V62" s="17" t="n">
        <f aca="false">IF(F62=1,1-(H62+C62+D62)/B62,9)</f>
        <v>0.110324842511371</v>
      </c>
      <c r="W62" s="17" t="n">
        <f aca="false">IF(F62=1,1-($B$14*H62+C62+D62)/B62,9)</f>
        <v>0.0551624212556854</v>
      </c>
    </row>
    <row r="63" customFormat="false" ht="15" hidden="false" customHeight="false" outlineLevel="0" collapsed="false">
      <c r="A63" s="0" t="n">
        <v>24</v>
      </c>
      <c r="B63" s="10" t="n">
        <f aca="false">$B$4*(1+$B$5)^(A63-1)</f>
        <v>44.1531793973591</v>
      </c>
      <c r="C63" s="10" t="n">
        <f aca="false">$B$6*(1+$B$7)^(A63-1)</f>
        <v>12.3522747776372</v>
      </c>
      <c r="D63" s="10" t="n">
        <f aca="false">$B$8*(1+$B$9)^(A63-1)</f>
        <v>2.6469160237794</v>
      </c>
      <c r="E63" s="10" t="n">
        <f aca="false">B63-C63-D63</f>
        <v>29.1539885959426</v>
      </c>
      <c r="F63" s="10" t="n">
        <f aca="false">IF(A63&lt;=$B$10,1,0)</f>
        <v>0</v>
      </c>
      <c r="G63" s="10" t="n">
        <f aca="false">F63*E63/$B$12</f>
        <v>0</v>
      </c>
      <c r="H63" s="10" t="n">
        <f aca="false">G63*$B$27</f>
        <v>0</v>
      </c>
      <c r="I63" s="10" t="n">
        <f aca="false">O63*$B$11*F63</f>
        <v>0</v>
      </c>
      <c r="J63" s="10" t="n">
        <f aca="false">H63-I63</f>
        <v>0</v>
      </c>
      <c r="K63" s="10" t="n">
        <f aca="false">$B$4*(1+$B$20)^(A63-1)*(1-$B$19)</f>
        <v>44.1531793973591</v>
      </c>
      <c r="L63" s="10" t="n">
        <f aca="false">$B$6*(1+$B$21)^(A63-1)*(1+$B$18)</f>
        <v>12.3522747776372</v>
      </c>
      <c r="M63" s="10" t="n">
        <f aca="false">$B$8*(1+$B$21)^(A63-1)*(1+$B$22)</f>
        <v>2.6469160237794</v>
      </c>
      <c r="N63" s="10" t="n">
        <f aca="false">K63-L63-M63</f>
        <v>29.1539885959426</v>
      </c>
      <c r="O63" s="10" t="n">
        <f aca="false">R62</f>
        <v>0</v>
      </c>
      <c r="P63" s="15" t="str">
        <f aca="false">IF(F63=1,N63/H63,"")</f>
        <v/>
      </c>
      <c r="Q63" s="15" t="str">
        <f aca="false">IF(F63=1,NPV($B$11,S63:S64)/O63,"")</f>
        <v/>
      </c>
      <c r="R63" s="10" t="n">
        <f aca="false">O63-J63</f>
        <v>0</v>
      </c>
      <c r="S63" s="10" t="n">
        <f aca="false">N63*F63</f>
        <v>0</v>
      </c>
      <c r="T63" s="17" t="n">
        <f aca="false">IF(F63=1,(B63-D63-H63)/C63-1,9)</f>
        <v>9</v>
      </c>
      <c r="U63" s="17" t="n">
        <f aca="false">IF(F63=1,(B63-D63-$B$14*H63)/C63-1,9)</f>
        <v>9</v>
      </c>
      <c r="V63" s="17" t="n">
        <f aca="false">IF(F63=1,1-(H63+C63+D63)/B63,9)</f>
        <v>9</v>
      </c>
      <c r="W63" s="17" t="n">
        <f aca="false">IF(F63=1,1-($B$14*H63+C63+D63)/B63,9)</f>
        <v>9</v>
      </c>
    </row>
    <row r="64" customFormat="false" ht="15" hidden="false" customHeight="false" outlineLevel="0" collapsed="false">
      <c r="A64" s="0" t="n">
        <v>25</v>
      </c>
      <c r="B64" s="10" t="n">
        <f aca="false">$B$4*(1+$B$5)^(A64-1)</f>
        <v>45.0362429853063</v>
      </c>
      <c r="C64" s="10" t="n">
        <f aca="false">$B$6*(1+$B$7)^(A64-1)</f>
        <v>12.6610816470781</v>
      </c>
      <c r="D64" s="10" t="n">
        <f aca="false">$B$8*(1+$B$9)^(A64-1)</f>
        <v>2.71308892437388</v>
      </c>
      <c r="E64" s="10" t="n">
        <f aca="false">B64-C64-D64</f>
        <v>29.6620724138543</v>
      </c>
      <c r="F64" s="10" t="n">
        <f aca="false">IF(A64&lt;=$B$10,1,0)</f>
        <v>0</v>
      </c>
      <c r="G64" s="10" t="n">
        <f aca="false">F64*E64/$B$12</f>
        <v>0</v>
      </c>
      <c r="H64" s="10" t="n">
        <f aca="false">G64*$B$27</f>
        <v>0</v>
      </c>
      <c r="I64" s="10" t="n">
        <f aca="false">O64*$B$11*F64</f>
        <v>0</v>
      </c>
      <c r="J64" s="10" t="n">
        <f aca="false">H64-I64</f>
        <v>0</v>
      </c>
      <c r="K64" s="10" t="n">
        <f aca="false">$B$4*(1+$B$20)^(A64-1)*(1-$B$19)</f>
        <v>45.0362429853063</v>
      </c>
      <c r="L64" s="10" t="n">
        <f aca="false">$B$6*(1+$B$21)^(A64-1)*(1+$B$18)</f>
        <v>12.6610816470781</v>
      </c>
      <c r="M64" s="10" t="n">
        <f aca="false">$B$8*(1+$B$21)^(A64-1)*(1+$B$22)</f>
        <v>2.71308892437388</v>
      </c>
      <c r="N64" s="10" t="n">
        <f aca="false">K64-L64-M64</f>
        <v>29.6620724138543</v>
      </c>
      <c r="O64" s="10" t="n">
        <f aca="false">R63</f>
        <v>0</v>
      </c>
      <c r="P64" s="15" t="str">
        <f aca="false">IF(F64=1,N64/H64,"")</f>
        <v/>
      </c>
      <c r="Q64" s="15" t="str">
        <f aca="false">IF(F64=1,NPV($B$11,S64:S64)/O64,"")</f>
        <v/>
      </c>
      <c r="R64" s="10" t="n">
        <f aca="false">O64-J64</f>
        <v>0</v>
      </c>
      <c r="S64" s="10" t="n">
        <f aca="false">N64*F64</f>
        <v>0</v>
      </c>
      <c r="T64" s="17" t="n">
        <f aca="false">IF(F64=1,(B64-D64-H64)/C64-1,9)</f>
        <v>9</v>
      </c>
      <c r="U64" s="17" t="n">
        <f aca="false">IF(F64=1,(B64-D64-$B$14*H64)/C64-1,9)</f>
        <v>9</v>
      </c>
      <c r="V64" s="17" t="n">
        <f aca="false">IF(F64=1,1-(H64+C64+D64)/B64,9)</f>
        <v>9</v>
      </c>
      <c r="W64" s="17" t="n">
        <f aca="false">IF(F64=1,1-($B$14*H64+C64+D64)/B64,9)</f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11" min="2" style="0" width="15"/>
  </cols>
  <sheetData>
    <row r="1" customFormat="false" ht="16.15" hidden="false" customHeight="false" outlineLevel="0" collapsed="false">
      <c r="A1" s="2" t="s">
        <v>88</v>
      </c>
    </row>
    <row r="3" customFormat="false" ht="15" hidden="false" customHeight="false" outlineLevel="0" collapsed="false">
      <c r="A3" s="16" t="s">
        <v>89</v>
      </c>
      <c r="B3" s="16" t="s">
        <v>90</v>
      </c>
      <c r="C3" s="16" t="s">
        <v>91</v>
      </c>
      <c r="D3" s="16" t="s">
        <v>92</v>
      </c>
      <c r="E3" s="16" t="s">
        <v>93</v>
      </c>
      <c r="F3" s="16" t="s">
        <v>94</v>
      </c>
      <c r="G3" s="16" t="s">
        <v>95</v>
      </c>
      <c r="H3" s="16" t="s">
        <v>96</v>
      </c>
      <c r="I3" s="16" t="s">
        <v>97</v>
      </c>
      <c r="J3" s="16" t="s">
        <v>98</v>
      </c>
    </row>
    <row r="4" customFormat="false" ht="15" hidden="false" customHeight="false" outlineLevel="0" collapsed="false">
      <c r="A4" s="0" t="s">
        <v>99</v>
      </c>
      <c r="B4" s="18" t="n">
        <v>0</v>
      </c>
      <c r="C4" s="18" t="n">
        <v>0</v>
      </c>
      <c r="D4" s="18" t="n">
        <f aca="false">Wexmoor!$B$5</f>
        <v>0.02</v>
      </c>
      <c r="E4" s="18" t="n">
        <f aca="false">Wexmoor!$B$7</f>
        <v>0.025</v>
      </c>
      <c r="F4" s="15" t="n">
        <f aca="false">MIN(B21:B45)</f>
        <v>1.2</v>
      </c>
      <c r="G4" s="8" t="n">
        <f aca="false">MATCH(F4,B21:B45,0)</f>
        <v>1</v>
      </c>
      <c r="H4" s="8" t="n">
        <f aca="false">COUNTIF(B21:B45,"&lt;"&amp;Wexmoor!$B$14)</f>
        <v>0</v>
      </c>
      <c r="I4" s="8" t="n">
        <f aca="false">COUNTIF(B21:B45,"&lt;"&amp;Wexmoor!$B$15)</f>
        <v>0</v>
      </c>
      <c r="J4" s="8" t="n">
        <f aca="false">COUNTIF(B21:B45,"&lt;1")</f>
        <v>0</v>
      </c>
    </row>
    <row r="5" customFormat="false" ht="15" hidden="false" customHeight="false" outlineLevel="0" collapsed="false">
      <c r="A5" s="0" t="s">
        <v>100</v>
      </c>
      <c r="B5" s="18" t="n">
        <v>0.15</v>
      </c>
      <c r="C5" s="18" t="n">
        <v>0</v>
      </c>
      <c r="D5" s="18" t="n">
        <f aca="false">Wexmoor!$B$5</f>
        <v>0.02</v>
      </c>
      <c r="E5" s="18" t="n">
        <f aca="false">Wexmoor!$B$7</f>
        <v>0.025</v>
      </c>
      <c r="F5" s="15" t="n">
        <f aca="false">MIN(C21:C45)</f>
        <v>1.12429767689064</v>
      </c>
      <c r="G5" s="8" t="n">
        <f aca="false">MATCH(F5,C21:C45,0)</f>
        <v>23</v>
      </c>
      <c r="H5" s="8" t="n">
        <f aca="false">COUNTIF(C21:C45,"&lt;"&amp;Wexmoor!$B$14)</f>
        <v>0</v>
      </c>
      <c r="I5" s="8" t="n">
        <f aca="false">COUNTIF(C21:C45,"&lt;"&amp;Wexmoor!$B$15)</f>
        <v>0</v>
      </c>
      <c r="J5" s="8" t="n">
        <f aca="false">COUNTIF(C21:C45,"&lt;1")</f>
        <v>0</v>
      </c>
    </row>
    <row r="6" customFormat="false" ht="15" hidden="false" customHeight="false" outlineLevel="0" collapsed="false">
      <c r="A6" s="0" t="s">
        <v>101</v>
      </c>
      <c r="B6" s="18" t="n">
        <v>0</v>
      </c>
      <c r="C6" s="18" t="n">
        <v>0.03</v>
      </c>
      <c r="D6" s="18" t="n">
        <f aca="false">Wexmoor!$B$5</f>
        <v>0.02</v>
      </c>
      <c r="E6" s="18" t="n">
        <f aca="false">Wexmoor!$B$7</f>
        <v>0.025</v>
      </c>
      <c r="F6" s="15" t="n">
        <f aca="false">MIN(D21:D45)</f>
        <v>1.14561515010201</v>
      </c>
      <c r="G6" s="8" t="n">
        <f aca="false">MATCH(F6,D21:D45,0)</f>
        <v>23</v>
      </c>
      <c r="H6" s="8" t="n">
        <f aca="false">COUNTIF(D21:D45,"&lt;"&amp;Wexmoor!$B$14)</f>
        <v>0</v>
      </c>
      <c r="I6" s="8" t="n">
        <f aca="false">COUNTIF(D21:D45,"&lt;"&amp;Wexmoor!$B$15)</f>
        <v>0</v>
      </c>
      <c r="J6" s="8" t="n">
        <f aca="false">COUNTIF(D21:D45,"&lt;1")</f>
        <v>0</v>
      </c>
    </row>
    <row r="7" customFormat="false" ht="15" hidden="false" customHeight="false" outlineLevel="0" collapsed="false">
      <c r="A7" s="0" t="s">
        <v>102</v>
      </c>
      <c r="B7" s="18" t="n">
        <v>0</v>
      </c>
      <c r="C7" s="18" t="n">
        <v>0</v>
      </c>
      <c r="D7" s="18" t="n">
        <v>0.01</v>
      </c>
      <c r="E7" s="18" t="n">
        <f aca="false">Wexmoor!$B$7</f>
        <v>0.025</v>
      </c>
      <c r="F7" s="15" t="n">
        <f aca="false">MIN(E21:E45)</f>
        <v>0.846735606079794</v>
      </c>
      <c r="G7" s="8" t="n">
        <f aca="false">MATCH(F7,E21:E45,0)</f>
        <v>23</v>
      </c>
      <c r="H7" s="8" t="n">
        <f aca="false">COUNTIF(E21:E45,"&lt;"&amp;Wexmoor!$B$14)</f>
        <v>17</v>
      </c>
      <c r="I7" s="8" t="n">
        <f aca="false">COUNTIF(E21:E45,"&lt;"&amp;Wexmoor!$B$15)</f>
        <v>13</v>
      </c>
      <c r="J7" s="8" t="n">
        <f aca="false">COUNTIF(E21:E45,"&lt;1")</f>
        <v>10</v>
      </c>
    </row>
    <row r="8" customFormat="false" ht="15" hidden="false" customHeight="false" outlineLevel="0" collapsed="false">
      <c r="A8" s="0" t="s">
        <v>103</v>
      </c>
      <c r="B8" s="18" t="n">
        <v>0</v>
      </c>
      <c r="C8" s="18" t="n">
        <v>0</v>
      </c>
      <c r="D8" s="18" t="n">
        <v>0</v>
      </c>
      <c r="E8" s="18" t="n">
        <f aca="false">Wexmoor!$B$7</f>
        <v>0.025</v>
      </c>
      <c r="F8" s="15" t="n">
        <f aca="false">MIN(F21:F45)</f>
        <v>0.559779799527877</v>
      </c>
      <c r="G8" s="8" t="n">
        <f aca="false">MATCH(F8,F21:F45,0)</f>
        <v>23</v>
      </c>
      <c r="H8" s="8" t="n">
        <f aca="false">COUNTIF(F21:F45,"&lt;"&amp;Wexmoor!$B$14)</f>
        <v>20</v>
      </c>
      <c r="I8" s="8" t="n">
        <f aca="false">COUNTIF(F21:F45,"&lt;"&amp;Wexmoor!$B$15)</f>
        <v>18</v>
      </c>
      <c r="J8" s="8" t="n">
        <f aca="false">COUNTIF(F21:F45,"&lt;1")</f>
        <v>16</v>
      </c>
    </row>
    <row r="9" customFormat="false" ht="15" hidden="false" customHeight="false" outlineLevel="0" collapsed="false">
      <c r="A9" s="0" t="s">
        <v>104</v>
      </c>
      <c r="B9" s="18" t="n">
        <v>0</v>
      </c>
      <c r="C9" s="18" t="n">
        <v>0</v>
      </c>
      <c r="D9" s="18" t="n">
        <v>0.01</v>
      </c>
      <c r="E9" s="18" t="n">
        <v>0.015</v>
      </c>
      <c r="F9" s="15" t="n">
        <f aca="false">MIN(G21:G45)</f>
        <v>0.965632435057029</v>
      </c>
      <c r="G9" s="8" t="n">
        <f aca="false">MATCH(F9,G21:G45,0)</f>
        <v>23</v>
      </c>
      <c r="H9" s="8" t="n">
        <f aca="false">COUNTIF(G21:G45,"&lt;"&amp;Wexmoor!$B$14)</f>
        <v>14</v>
      </c>
      <c r="I9" s="8" t="n">
        <f aca="false">COUNTIF(G21:G45,"&lt;"&amp;Wexmoor!$B$15)</f>
        <v>9</v>
      </c>
      <c r="J9" s="8" t="n">
        <f aca="false">COUNTIF(G21:G45,"&lt;1")</f>
        <v>4</v>
      </c>
    </row>
    <row r="10" customFormat="false" ht="15" hidden="false" customHeight="false" outlineLevel="0" collapsed="false">
      <c r="A10" s="0" t="s">
        <v>105</v>
      </c>
      <c r="B10" s="18" t="n">
        <v>0</v>
      </c>
      <c r="C10" s="18" t="n">
        <v>0</v>
      </c>
      <c r="D10" s="18" t="n">
        <v>0.03</v>
      </c>
      <c r="E10" s="18" t="n">
        <v>0.035</v>
      </c>
      <c r="F10" s="15" t="n">
        <f aca="false">MIN(H21:H45)</f>
        <v>1.2</v>
      </c>
      <c r="G10" s="8" t="n">
        <f aca="false">MATCH(F10,H21:H45,0)</f>
        <v>1</v>
      </c>
      <c r="H10" s="8" t="n">
        <f aca="false">COUNTIF(H21:H45,"&lt;"&amp;Wexmoor!$B$14)</f>
        <v>0</v>
      </c>
      <c r="I10" s="8" t="n">
        <f aca="false">COUNTIF(H21:H45,"&lt;"&amp;Wexmoor!$B$15)</f>
        <v>0</v>
      </c>
      <c r="J10" s="8" t="n">
        <f aca="false">COUNTIF(H21:H45,"&lt;1")</f>
        <v>0</v>
      </c>
    </row>
    <row r="11" customFormat="false" ht="15" hidden="false" customHeight="false" outlineLevel="0" collapsed="false">
      <c r="A11" s="0" t="s">
        <v>106</v>
      </c>
      <c r="B11" s="18" t="n">
        <v>0.1</v>
      </c>
      <c r="C11" s="18" t="n">
        <v>0.02</v>
      </c>
      <c r="D11" s="18" t="n">
        <v>0.015</v>
      </c>
      <c r="E11" s="18" t="n">
        <f aca="false">Wexmoor!$B$7</f>
        <v>0.025</v>
      </c>
      <c r="F11" s="15" t="n">
        <f aca="false">MIN(I21:I45)</f>
        <v>0.931230558922469</v>
      </c>
      <c r="G11" s="8" t="n">
        <f aca="false">MATCH(F11,I21:I45,0)</f>
        <v>23</v>
      </c>
      <c r="H11" s="8" t="n">
        <f aca="false">COUNTIF(I21:I45,"&lt;"&amp;Wexmoor!$B$14)</f>
        <v>20</v>
      </c>
      <c r="I11" s="8" t="n">
        <f aca="false">COUNTIF(I21:I45,"&lt;"&amp;Wexmoor!$B$15)</f>
        <v>14</v>
      </c>
      <c r="J11" s="8" t="n">
        <f aca="false">COUNTIF(I21:I45,"&lt;1")</f>
        <v>8</v>
      </c>
    </row>
    <row r="14" customFormat="false" ht="15" hidden="false" customHeight="false" outlineLevel="0" collapsed="false">
      <c r="A14" s="3" t="s">
        <v>107</v>
      </c>
    </row>
    <row r="15" customFormat="false" ht="15" hidden="false" customHeight="false" outlineLevel="0" collapsed="false">
      <c r="A15" s="0" t="s">
        <v>108</v>
      </c>
      <c r="B15" s="17" t="n">
        <f aca="false">MIN(Wexmoor!T40:T64)</f>
        <v>0.396289027440571</v>
      </c>
      <c r="C15" s="8" t="s">
        <v>109</v>
      </c>
    </row>
    <row r="16" customFormat="false" ht="15" hidden="false" customHeight="false" outlineLevel="0" collapsed="false">
      <c r="A16" s="0" t="s">
        <v>110</v>
      </c>
      <c r="B16" s="17" t="n">
        <f aca="false">MIN(Wexmoor!U40:U64)</f>
        <v>0.198144513720285</v>
      </c>
    </row>
    <row r="17" customFormat="false" ht="15" hidden="false" customHeight="false" outlineLevel="0" collapsed="false">
      <c r="A17" s="0" t="s">
        <v>111</v>
      </c>
      <c r="B17" s="17" t="n">
        <f aca="false">MIN(Wexmoor!V40:V64)</f>
        <v>0.110324842511371</v>
      </c>
    </row>
    <row r="18" customFormat="false" ht="15" hidden="false" customHeight="false" outlineLevel="0" collapsed="false">
      <c r="A18" s="0" t="s">
        <v>112</v>
      </c>
      <c r="B18" s="17" t="n">
        <f aca="false">MIN(Wexmoor!W40:W64)</f>
        <v>0.0551624212556854</v>
      </c>
    </row>
    <row r="20" customFormat="false" ht="41.75" hidden="false" customHeight="false" outlineLevel="0" collapsed="false">
      <c r="A20" s="16" t="s">
        <v>65</v>
      </c>
      <c r="B20" s="16" t="s">
        <v>99</v>
      </c>
      <c r="C20" s="16" t="s">
        <v>100</v>
      </c>
      <c r="D20" s="16" t="s">
        <v>101</v>
      </c>
      <c r="E20" s="16" t="s">
        <v>102</v>
      </c>
      <c r="F20" s="16" t="s">
        <v>103</v>
      </c>
      <c r="G20" s="16" t="s">
        <v>104</v>
      </c>
      <c r="H20" s="16" t="s">
        <v>105</v>
      </c>
      <c r="I20" s="16" t="s">
        <v>106</v>
      </c>
    </row>
    <row r="21" customFormat="false" ht="15" hidden="false" customHeight="false" outlineLevel="0" collapsed="false">
      <c r="A21" s="0" t="n">
        <v>1</v>
      </c>
      <c r="B21" s="15" t="n">
        <f aca="false">IF(Wexmoor!F40=1,(Wexmoor!$B$4*(1+$D$4)^($A21-1)*(1-$C$4)-Wexmoor!$B$6*(1+IF($E$4=Wexmoor!$B$7,Wexmoor!$B$7,$E$4))^($A21-1)*(1+$B$4)-Wexmoor!$B$8*(1+IF($E$4=Wexmoor!$B$7,Wexmoor!$B$9,$E$4))^($A21-1))/Wexmoor!H40,"")</f>
        <v>1.2</v>
      </c>
      <c r="C21" s="15" t="n">
        <f aca="false">IF(Wexmoor!F40=1,(Wexmoor!$B$4*(1+$D$5)^($A21-1)*(1-$C$5)-Wexmoor!$B$6*(1+IF($E$5=Wexmoor!$B$7,Wexmoor!$B$7,$E$5))^($A21-1)*(1+$B$5)-Wexmoor!$B$8*(1+IF($E$5=Wexmoor!$B$7,Wexmoor!$B$9,$E$5))^($A21-1))/Wexmoor!H40,"")</f>
        <v>1.13538461538462</v>
      </c>
      <c r="D21" s="15" t="n">
        <f aca="false">IF(Wexmoor!F40=1,(Wexmoor!$B$4*(1+$D$6)^($A21-1)*(1-$C$6)-Wexmoor!$B$6*(1+IF($E$6=Wexmoor!$B$7,Wexmoor!$B$7,$E$6))^($A21-1)*(1+$B$6)-Wexmoor!$B$8*(1+IF($E$6=Wexmoor!$B$7,Wexmoor!$B$9,$E$6))^($A21-1))/Wexmoor!H40,"")</f>
        <v>1.14830769230769</v>
      </c>
      <c r="E21" s="15" t="n">
        <f aca="false">IF(Wexmoor!F40=1,(Wexmoor!$B$4*(1+$D$7)^($A21-1)*(1-$C$7)-Wexmoor!$B$6*(1+IF($E$7=Wexmoor!$B$7,Wexmoor!$B$7,$E$7))^($A21-1)*(1+$B$7)-Wexmoor!$B$8*(1+IF($E$7=Wexmoor!$B$7,Wexmoor!$B$9,$E$7))^($A21-1))/Wexmoor!H40,"")</f>
        <v>1.2</v>
      </c>
      <c r="F21" s="15" t="n">
        <f aca="false">IF(Wexmoor!F40=1,(Wexmoor!$B$4*(1+$D$8)^($A21-1)*(1-$C$8)-Wexmoor!$B$6*(1+IF($E$8=Wexmoor!$B$7,Wexmoor!$B$7,$E$8))^($A21-1)*(1+$B$8)-Wexmoor!$B$8*(1+IF($E$8=Wexmoor!$B$7,Wexmoor!$B$9,$E$8))^($A21-1))/Wexmoor!H40,"")</f>
        <v>1.2</v>
      </c>
      <c r="G21" s="15" t="n">
        <f aca="false">IF(Wexmoor!F40=1,(Wexmoor!$B$4*(1+$D$9)^($A21-1)*(1-$C$9)-Wexmoor!$B$6*(1+IF($E$9=Wexmoor!$B$7,Wexmoor!$B$7,$E$9))^($A21-1)*(1+$B$9)-Wexmoor!$B$8*(1+IF($E$9=Wexmoor!$B$7,Wexmoor!$B$9,$E$9))^($A21-1))/Wexmoor!H40,"")</f>
        <v>1.2</v>
      </c>
      <c r="H21" s="15" t="n">
        <f aca="false">IF(Wexmoor!F40=1,(Wexmoor!$B$4*(1+$D$10)^($A21-1)*(1-$C$10)-Wexmoor!$B$6*(1+IF($E$10=Wexmoor!$B$7,Wexmoor!$B$7,$E$10))^($A21-1)*(1+$B$10)-Wexmoor!$B$8*(1+IF($E$10=Wexmoor!$B$7,Wexmoor!$B$9,$E$10))^($A21-1))/Wexmoor!H40,"")</f>
        <v>1.2</v>
      </c>
      <c r="I21" s="15" t="n">
        <f aca="false">IF(Wexmoor!F40=1,(Wexmoor!$B$4*(1+$D$11)^($A21-1)*(1-$C$11)-Wexmoor!$B$6*(1+IF($E$11=Wexmoor!$B$7,Wexmoor!$B$7,$E$11))^($A21-1)*(1+$B$11)-Wexmoor!$B$8*(1+IF($E$11=Wexmoor!$B$7,Wexmoor!$B$9,$E$11))^($A21-1))/Wexmoor!H40,"")</f>
        <v>1.12246153846154</v>
      </c>
    </row>
    <row r="22" customFormat="false" ht="15" hidden="false" customHeight="false" outlineLevel="0" collapsed="false">
      <c r="A22" s="0" t="n">
        <v>2</v>
      </c>
      <c r="B22" s="15" t="n">
        <f aca="false">IF(Wexmoor!F41=1,(Wexmoor!$B$4*(1+$D$4)^($A22-1)*(1-$C$4)-Wexmoor!$B$6*(1+IF($E$4=Wexmoor!$B$7,Wexmoor!$B$7,$E$4))^($A22-1)*(1+$B$4)-Wexmoor!$B$8*(1+IF($E$4=Wexmoor!$B$7,Wexmoor!$B$9,$E$4))^($A22-1))/Wexmoor!H41,"")</f>
        <v>1.2</v>
      </c>
      <c r="C22" s="15" t="n">
        <f aca="false">IF(Wexmoor!F41=1,(Wexmoor!$B$4*(1+$D$5)^($A22-1)*(1-$C$5)-Wexmoor!$B$6*(1+IF($E$5=Wexmoor!$B$7,Wexmoor!$B$7,$E$5))^($A22-1)*(1+$B$5)-Wexmoor!$B$8*(1+IF($E$5=Wexmoor!$B$7,Wexmoor!$B$9,$E$5))^($A22-1))/Wexmoor!H41,"")</f>
        <v>1.13492883234664</v>
      </c>
      <c r="D22" s="15" t="n">
        <f aca="false">IF(Wexmoor!F41=1,(Wexmoor!$B$4*(1+$D$6)^($A22-1)*(1-$C$6)-Wexmoor!$B$6*(1+IF($E$6=Wexmoor!$B$7,Wexmoor!$B$7,$E$6))^($A22-1)*(1+$B$6)-Wexmoor!$B$8*(1+IF($E$6=Wexmoor!$B$7,Wexmoor!$B$9,$E$6))^($A22-1))/Wexmoor!H41,"")</f>
        <v>1.14819700214133</v>
      </c>
      <c r="E22" s="15" t="n">
        <f aca="false">IF(Wexmoor!F41=1,(Wexmoor!$B$4*(1+$D$7)^($A22-1)*(1-$C$7)-Wexmoor!$B$6*(1+IF($E$7=Wexmoor!$B$7,Wexmoor!$B$7,$E$7))^($A22-1)*(1+$B$7)-Wexmoor!$B$8*(1+IF($E$7=Wexmoor!$B$7,Wexmoor!$B$9,$E$7))^($A22-1))/Wexmoor!H41,"")</f>
        <v>1.18307091573246</v>
      </c>
      <c r="F22" s="15" t="n">
        <f aca="false">IF(Wexmoor!F41=1,(Wexmoor!$B$4*(1+$D$8)^($A22-1)*(1-$C$8)-Wexmoor!$B$6*(1+IF($E$8=Wexmoor!$B$7,Wexmoor!$B$7,$E$8))^($A22-1)*(1+$B$8)-Wexmoor!$B$8*(1+IF($E$8=Wexmoor!$B$7,Wexmoor!$B$9,$E$8))^($A22-1))/Wexmoor!H41,"")</f>
        <v>1.16614183146492</v>
      </c>
      <c r="G22" s="15" t="n">
        <f aca="false">IF(Wexmoor!F41=1,(Wexmoor!$B$4*(1+$D$9)^($A22-1)*(1-$C$9)-Wexmoor!$B$6*(1+IF($E$9=Wexmoor!$B$7,Wexmoor!$B$7,$E$9))^($A22-1)*(1+$B$9)-Wexmoor!$B$8*(1+IF($E$9=Wexmoor!$B$7,Wexmoor!$B$9,$E$9))^($A22-1))/Wexmoor!H41,"")</f>
        <v>1.18821010202796</v>
      </c>
      <c r="H22" s="15" t="n">
        <f aca="false">IF(Wexmoor!F41=1,(Wexmoor!$B$4*(1+$D$10)^($A22-1)*(1-$C$10)-Wexmoor!$B$6*(1+IF($E$10=Wexmoor!$B$7,Wexmoor!$B$7,$E$10))^($A22-1)*(1+$B$10)-Wexmoor!$B$8*(1+IF($E$10=Wexmoor!$B$7,Wexmoor!$B$9,$E$10))^($A22-1))/Wexmoor!H41,"")</f>
        <v>1.21178989797204</v>
      </c>
      <c r="I22" s="15" t="n">
        <f aca="false">IF(Wexmoor!F41=1,(Wexmoor!$B$4*(1+$D$11)^($A22-1)*(1-$C$11)-Wexmoor!$B$6*(1+IF($E$11=Wexmoor!$B$7,Wexmoor!$B$7,$E$11))^($A22-1)*(1+$B$11)-Wexmoor!$B$8*(1+IF($E$11=Wexmoor!$B$7,Wexmoor!$B$9,$E$11))^($A22-1))/Wexmoor!H41,"")</f>
        <v>1.11378863836755</v>
      </c>
    </row>
    <row r="23" customFormat="false" ht="15" hidden="false" customHeight="false" outlineLevel="0" collapsed="false">
      <c r="A23" s="0" t="n">
        <v>3</v>
      </c>
      <c r="B23" s="15" t="n">
        <f aca="false">IF(Wexmoor!F42=1,(Wexmoor!$B$4*(1+$D$4)^($A23-1)*(1-$C$4)-Wexmoor!$B$6*(1+IF($E$4=Wexmoor!$B$7,Wexmoor!$B$7,$E$4))^($A23-1)*(1+$B$4)-Wexmoor!$B$8*(1+IF($E$4=Wexmoor!$B$7,Wexmoor!$B$9,$E$4))^($A23-1))/Wexmoor!H42,"")</f>
        <v>1.2</v>
      </c>
      <c r="C23" s="15" t="n">
        <f aca="false">IF(Wexmoor!F42=1,(Wexmoor!$B$4*(1+$D$5)^($A23-1)*(1-$C$5)-Wexmoor!$B$6*(1+IF($E$5=Wexmoor!$B$7,Wexmoor!$B$7,$E$5))^($A23-1)*(1+$B$5)-Wexmoor!$B$8*(1+IF($E$5=Wexmoor!$B$7,Wexmoor!$B$9,$E$5))^($A23-1))/Wexmoor!H42,"")</f>
        <v>1.13446884450003</v>
      </c>
      <c r="D23" s="15" t="n">
        <f aca="false">IF(Wexmoor!F42=1,(Wexmoor!$B$4*(1+$D$6)^($A23-1)*(1-$C$6)-Wexmoor!$B$6*(1+IF($E$6=Wexmoor!$B$7,Wexmoor!$B$7,$E$6))^($A23-1)*(1+$B$6)-Wexmoor!$B$8*(1+IF($E$6=Wexmoor!$B$7,Wexmoor!$B$9,$E$6))^($A23-1))/Wexmoor!H42,"")</f>
        <v>1.14808529080715</v>
      </c>
      <c r="E23" s="15" t="n">
        <f aca="false">IF(Wexmoor!F42=1,(Wexmoor!$B$4*(1+$D$7)^($A23-1)*(1-$C$7)-Wexmoor!$B$6*(1+IF($E$7=Wexmoor!$B$7,Wexmoor!$B$7,$E$7))^($A23-1)*(1+$B$7)-Wexmoor!$B$8*(1+IF($E$7=Wexmoor!$B$7,Wexmoor!$B$9,$E$7))^($A23-1))/Wexmoor!H42,"")</f>
        <v>1.16623514684689</v>
      </c>
      <c r="F23" s="15" t="n">
        <f aca="false">IF(Wexmoor!F42=1,(Wexmoor!$B$4*(1+$D$8)^($A23-1)*(1-$C$8)-Wexmoor!$B$6*(1+IF($E$8=Wexmoor!$B$7,Wexmoor!$B$7,$E$8))^($A23-1)*(1+$B$8)-Wexmoor!$B$8*(1+IF($E$8=Wexmoor!$B$7,Wexmoor!$B$9,$E$8))^($A23-1))/Wexmoor!H42,"")</f>
        <v>1.13280295234553</v>
      </c>
      <c r="G23" s="15" t="n">
        <f aca="false">IF(Wexmoor!F42=1,(Wexmoor!$B$4*(1+$D$9)^($A23-1)*(1-$C$9)-Wexmoor!$B$6*(1+IF($E$9=Wexmoor!$B$7,Wexmoor!$B$7,$E$9))^($A23-1)*(1+$B$9)-Wexmoor!$B$8*(1+IF($E$9=Wexmoor!$B$7,Wexmoor!$B$9,$E$9))^($A23-1))/Wexmoor!H42,"")</f>
        <v>1.17653568438515</v>
      </c>
      <c r="H23" s="15" t="n">
        <f aca="false">IF(Wexmoor!F42=1,(Wexmoor!$B$4*(1+$D$10)^($A23-1)*(1-$C$10)-Wexmoor!$B$6*(1+IF($E$10=Wexmoor!$B$7,Wexmoor!$B$7,$E$10))^($A23-1)*(1+$B$10)-Wexmoor!$B$8*(1+IF($E$10=Wexmoor!$B$7,Wexmoor!$B$9,$E$10))^($A23-1))/Wexmoor!H42,"")</f>
        <v>1.22369598860446</v>
      </c>
      <c r="I23" s="15" t="n">
        <f aca="false">IF(Wexmoor!F42=1,(Wexmoor!$B$4*(1+$D$11)^($A23-1)*(1-$C$11)-Wexmoor!$B$6*(1+IF($E$11=Wexmoor!$B$7,Wexmoor!$B$7,$E$11))^($A23-1)*(1+$B$11)-Wexmoor!$B$8*(1+IF($E$11=Wexmoor!$B$7,Wexmoor!$B$9,$E$11))^($A23-1))/Wexmoor!H42,"")</f>
        <v>1.10511722814158</v>
      </c>
    </row>
    <row r="24" customFormat="false" ht="15" hidden="false" customHeight="false" outlineLevel="0" collapsed="false">
      <c r="A24" s="0" t="n">
        <v>4</v>
      </c>
      <c r="B24" s="15" t="n">
        <f aca="false">IF(Wexmoor!F43=1,(Wexmoor!$B$4*(1+$D$4)^($A24-1)*(1-$C$4)-Wexmoor!$B$6*(1+IF($E$4=Wexmoor!$B$7,Wexmoor!$B$7,$E$4))^($A24-1)*(1+$B$4)-Wexmoor!$B$8*(1+IF($E$4=Wexmoor!$B$7,Wexmoor!$B$9,$E$4))^($A24-1))/Wexmoor!H43,"")</f>
        <v>1.2</v>
      </c>
      <c r="C24" s="15" t="n">
        <f aca="false">IF(Wexmoor!F43=1,(Wexmoor!$B$4*(1+$D$5)^($A24-1)*(1-$C$5)-Wexmoor!$B$6*(1+IF($E$5=Wexmoor!$B$7,Wexmoor!$B$7,$E$5))^($A24-1)*(1+$B$5)-Wexmoor!$B$8*(1+IF($E$5=Wexmoor!$B$7,Wexmoor!$B$9,$E$5))^($A24-1))/Wexmoor!H43,"")</f>
        <v>1.13400459896441</v>
      </c>
      <c r="D24" s="15" t="n">
        <f aca="false">IF(Wexmoor!F43=1,(Wexmoor!$B$4*(1+$D$6)^($A24-1)*(1-$C$6)-Wexmoor!$B$6*(1+IF($E$6=Wexmoor!$B$7,Wexmoor!$B$7,$E$6))^($A24-1)*(1+$B$6)-Wexmoor!$B$8*(1+IF($E$6=Wexmoor!$B$7,Wexmoor!$B$9,$E$6))^($A24-1))/Wexmoor!H43,"")</f>
        <v>1.14797254546279</v>
      </c>
      <c r="E24" s="15" t="n">
        <f aca="false">IF(Wexmoor!F43=1,(Wexmoor!$B$4*(1+$D$7)^($A24-1)*(1-$C$7)-Wexmoor!$B$6*(1+IF($E$7=Wexmoor!$B$7,Wexmoor!$B$7,$E$7))^($A24-1)*(1+$B$7)-Wexmoor!$B$8*(1+IF($E$7=Wexmoor!$B$7,Wexmoor!$B$9,$E$7))^($A24-1))/Wexmoor!H43,"")</f>
        <v>1.14949112905979</v>
      </c>
      <c r="F24" s="15" t="n">
        <f aca="false">IF(Wexmoor!F43=1,(Wexmoor!$B$4*(1+$D$8)^($A24-1)*(1-$C$8)-Wexmoor!$B$6*(1+IF($E$8=Wexmoor!$B$7,Wexmoor!$B$7,$E$8))^($A24-1)*(1+$B$8)-Wexmoor!$B$8*(1+IF($E$8=Wexmoor!$B$7,Wexmoor!$B$9,$E$8))^($A24-1))/Wexmoor!H43,"")</f>
        <v>1.09997259609446</v>
      </c>
      <c r="G24" s="15" t="n">
        <f aca="false">IF(Wexmoor!F43=1,(Wexmoor!$B$4*(1+$D$9)^($A24-1)*(1-$C$9)-Wexmoor!$B$6*(1+IF($E$9=Wexmoor!$B$7,Wexmoor!$B$7,$E$9))^($A24-1)*(1+$B$9)-Wexmoor!$B$8*(1+IF($E$9=Wexmoor!$B$7,Wexmoor!$B$9,$E$9))^($A24-1))/Wexmoor!H43,"")</f>
        <v>1.1649756145549</v>
      </c>
      <c r="H24" s="15" t="n">
        <f aca="false">IF(Wexmoor!F43=1,(Wexmoor!$B$4*(1+$D$10)^($A24-1)*(1-$C$10)-Wexmoor!$B$6*(1+IF($E$10=Wexmoor!$B$7,Wexmoor!$B$7,$E$10))^($A24-1)*(1+$B$10)-Wexmoor!$B$8*(1+IF($E$10=Wexmoor!$B$7,Wexmoor!$B$9,$E$10))^($A24-1))/Wexmoor!H43,"")</f>
        <v>1.23571942550721</v>
      </c>
      <c r="I24" s="15" t="n">
        <f aca="false">IF(Wexmoor!F43=1,(Wexmoor!$B$4*(1+$D$11)^($A24-1)*(1-$C$11)-Wexmoor!$B$6*(1+IF($E$11=Wexmoor!$B$7,Wexmoor!$B$7,$E$11))^($A24-1)*(1+$B$11)-Wexmoor!$B$8*(1+IF($E$11=Wexmoor!$B$7,Wexmoor!$B$9,$E$11))^($A24-1))/Wexmoor!H43,"")</f>
        <v>1.09644683254592</v>
      </c>
    </row>
    <row r="25" customFormat="false" ht="15" hidden="false" customHeight="false" outlineLevel="0" collapsed="false">
      <c r="A25" s="0" t="n">
        <v>5</v>
      </c>
      <c r="B25" s="15" t="n">
        <f aca="false">IF(Wexmoor!F44=1,(Wexmoor!$B$4*(1+$D$4)^($A25-1)*(1-$C$4)-Wexmoor!$B$6*(1+IF($E$4=Wexmoor!$B$7,Wexmoor!$B$7,$E$4))^($A25-1)*(1+$B$4)-Wexmoor!$B$8*(1+IF($E$4=Wexmoor!$B$7,Wexmoor!$B$9,$E$4))^($A25-1))/Wexmoor!H44,"")</f>
        <v>1.2</v>
      </c>
      <c r="C25" s="15" t="n">
        <f aca="false">IF(Wexmoor!F44=1,(Wexmoor!$B$4*(1+$D$5)^($A25-1)*(1-$C$5)-Wexmoor!$B$6*(1+IF($E$5=Wexmoor!$B$7,Wexmoor!$B$7,$E$5))^($A25-1)*(1+$B$5)-Wexmoor!$B$8*(1+IF($E$5=Wexmoor!$B$7,Wexmoor!$B$9,$E$5))^($A25-1))/Wexmoor!H44,"")</f>
        <v>1.13353604197873</v>
      </c>
      <c r="D25" s="15" t="n">
        <f aca="false">IF(Wexmoor!F44=1,(Wexmoor!$B$4*(1+$D$6)^($A25-1)*(1-$C$6)-Wexmoor!$B$6*(1+IF($E$6=Wexmoor!$B$7,Wexmoor!$B$7,$E$6))^($A25-1)*(1+$B$6)-Wexmoor!$B$8*(1+IF($E$6=Wexmoor!$B$7,Wexmoor!$B$9,$E$6))^($A25-1))/Wexmoor!H44,"")</f>
        <v>1.14785875305198</v>
      </c>
      <c r="E25" s="15" t="n">
        <f aca="false">IF(Wexmoor!F44=1,(Wexmoor!$B$4*(1+$D$7)^($A25-1)*(1-$C$7)-Wexmoor!$B$6*(1+IF($E$7=Wexmoor!$B$7,Wexmoor!$B$7,$E$7))^($A25-1)*(1+$B$7)-Wexmoor!$B$8*(1+IF($E$7=Wexmoor!$B$7,Wexmoor!$B$9,$E$7))^($A25-1))/Wexmoor!H44,"")</f>
        <v>1.13283730290839</v>
      </c>
      <c r="F25" s="15" t="n">
        <f aca="false">IF(Wexmoor!F44=1,(Wexmoor!$B$4*(1+$D$8)^($A25-1)*(1-$C$8)-Wexmoor!$B$6*(1+IF($E$8=Wexmoor!$B$7,Wexmoor!$B$7,$E$8))^($A25-1)*(1+$B$8)-Wexmoor!$B$8*(1+IF($E$8=Wexmoor!$B$7,Wexmoor!$B$9,$E$8))^($A25-1))/Wexmoor!H44,"")</f>
        <v>1.06764018507424</v>
      </c>
      <c r="G25" s="15" t="n">
        <f aca="false">IF(Wexmoor!F44=1,(Wexmoor!$B$4*(1+$D$9)^($A25-1)*(1-$C$9)-Wexmoor!$B$6*(1+IF($E$9=Wexmoor!$B$7,Wexmoor!$B$7,$E$9))^($A25-1)*(1+$B$9)-Wexmoor!$B$8*(1+IF($E$9=Wexmoor!$B$7,Wexmoor!$B$9,$E$9))^($A25-1))/Wexmoor!H44,"")</f>
        <v>1.15352877110739</v>
      </c>
      <c r="H25" s="15" t="n">
        <f aca="false">IF(Wexmoor!F44=1,(Wexmoor!$B$4*(1+$D$10)^($A25-1)*(1-$C$10)-Wexmoor!$B$6*(1+IF($E$10=Wexmoor!$B$7,Wexmoor!$B$7,$E$10))^($A25-1)*(1+$B$10)-Wexmoor!$B$8*(1+IF($E$10=Wexmoor!$B$7,Wexmoor!$B$9,$E$10))^($A25-1))/Wexmoor!H44,"")</f>
        <v>1.24786137396</v>
      </c>
      <c r="I25" s="15" t="n">
        <f aca="false">IF(Wexmoor!F44=1,(Wexmoor!$B$4*(1+$D$11)^($A25-1)*(1-$C$11)-Wexmoor!$B$6*(1+IF($E$11=Wexmoor!$B$7,Wexmoor!$B$7,$E$11))^($A25-1)*(1+$B$11)-Wexmoor!$B$8*(1+IF($E$11=Wexmoor!$B$7,Wexmoor!$B$9,$E$11))^($A25-1))/Wexmoor!H44,"")</f>
        <v>1.08777697141374</v>
      </c>
    </row>
    <row r="26" customFormat="false" ht="15" hidden="false" customHeight="false" outlineLevel="0" collapsed="false">
      <c r="A26" s="0" t="n">
        <v>6</v>
      </c>
      <c r="B26" s="15" t="n">
        <f aca="false">IF(Wexmoor!F45=1,(Wexmoor!$B$4*(1+$D$4)^($A26-1)*(1-$C$4)-Wexmoor!$B$6*(1+IF($E$4=Wexmoor!$B$7,Wexmoor!$B$7,$E$4))^($A26-1)*(1+$B$4)-Wexmoor!$B$8*(1+IF($E$4=Wexmoor!$B$7,Wexmoor!$B$9,$E$4))^($A26-1))/Wexmoor!H45,"")</f>
        <v>1.2</v>
      </c>
      <c r="C26" s="15" t="n">
        <f aca="false">IF(Wexmoor!F45=1,(Wexmoor!$B$4*(1+$D$5)^($A26-1)*(1-$C$5)-Wexmoor!$B$6*(1+IF($E$5=Wexmoor!$B$7,Wexmoor!$B$7,$E$5))^($A26-1)*(1+$B$5)-Wexmoor!$B$8*(1+IF($E$5=Wexmoor!$B$7,Wexmoor!$B$9,$E$5))^($A26-1))/Wexmoor!H45,"")</f>
        <v>1.13306311888276</v>
      </c>
      <c r="D26" s="15" t="n">
        <f aca="false">IF(Wexmoor!F45=1,(Wexmoor!$B$4*(1+$D$6)^($A26-1)*(1-$C$6)-Wexmoor!$B$6*(1+IF($E$6=Wexmoor!$B$7,Wexmoor!$B$7,$E$6))^($A26-1)*(1+$B$6)-Wexmoor!$B$8*(1+IF($E$6=Wexmoor!$B$7,Wexmoor!$B$9,$E$6))^($A26-1))/Wexmoor!H45,"")</f>
        <v>1.1477439003001</v>
      </c>
      <c r="E26" s="15" t="n">
        <f aca="false">IF(Wexmoor!F45=1,(Wexmoor!$B$4*(1+$D$7)^($A26-1)*(1-$C$7)-Wexmoor!$B$6*(1+IF($E$7=Wexmoor!$B$7,Wexmoor!$B$7,$E$7))^($A26-1)*(1+$B$7)-Wexmoor!$B$8*(1+IF($E$7=Wexmoor!$B$7,Wexmoor!$B$9,$E$7))^($A26-1))/Wexmoor!H45,"")</f>
        <v>1.1162721135052</v>
      </c>
      <c r="F26" s="15" t="n">
        <f aca="false">IF(Wexmoor!F45=1,(Wexmoor!$B$4*(1+$D$8)^($A26-1)*(1-$C$8)-Wexmoor!$B$6*(1+IF($E$8=Wexmoor!$B$7,Wexmoor!$B$7,$E$8))^($A26-1)*(1+$B$8)-Wexmoor!$B$8*(1+IF($E$8=Wexmoor!$B$7,Wexmoor!$B$9,$E$8))^($A26-1))/Wexmoor!H45,"")</f>
        <v>1.03579532666144</v>
      </c>
      <c r="G26" s="15" t="n">
        <f aca="false">IF(Wexmoor!F45=1,(Wexmoor!$B$4*(1+$D$9)^($A26-1)*(1-$C$9)-Wexmoor!$B$6*(1+IF($E$9=Wexmoor!$B$7,Wexmoor!$B$7,$E$9))^($A26-1)*(1+$B$9)-Wexmoor!$B$8*(1+IF($E$9=Wexmoor!$B$7,Wexmoor!$B$9,$E$9))^($A26-1))/Wexmoor!H45,"")</f>
        <v>1.14219404359078</v>
      </c>
      <c r="H26" s="15" t="n">
        <f aca="false">IF(Wexmoor!F45=1,(Wexmoor!$B$4*(1+$D$10)^($A26-1)*(1-$C$10)-Wexmoor!$B$6*(1+IF($E$10=Wexmoor!$B$7,Wexmoor!$B$7,$E$10))^($A26-1)*(1+$B$10)-Wexmoor!$B$8*(1+IF($E$10=Wexmoor!$B$7,Wexmoor!$B$9,$E$10))^($A26-1))/Wexmoor!H45,"")</f>
        <v>1.26012301103637</v>
      </c>
      <c r="I26" s="15" t="n">
        <f aca="false">IF(Wexmoor!F45=1,(Wexmoor!$B$4*(1+$D$11)^($A26-1)*(1-$C$11)-Wexmoor!$B$6*(1+IF($E$11=Wexmoor!$B$7,Wexmoor!$B$7,$E$11))^($A26-1)*(1+$B$11)-Wexmoor!$B$8*(1+IF($E$11=Wexmoor!$B$7,Wexmoor!$B$9,$E$11))^($A26-1))/Wexmoor!H45,"")</f>
        <v>1.07910715952842</v>
      </c>
    </row>
    <row r="27" customFormat="false" ht="15" hidden="false" customHeight="false" outlineLevel="0" collapsed="false">
      <c r="A27" s="0" t="n">
        <v>7</v>
      </c>
      <c r="B27" s="15" t="n">
        <f aca="false">IF(Wexmoor!F46=1,(Wexmoor!$B$4*(1+$D$4)^($A27-1)*(1-$C$4)-Wexmoor!$B$6*(1+IF($E$4=Wexmoor!$B$7,Wexmoor!$B$7,$E$4))^($A27-1)*(1+$B$4)-Wexmoor!$B$8*(1+IF($E$4=Wexmoor!$B$7,Wexmoor!$B$9,$E$4))^($A27-1))/Wexmoor!H46,"")</f>
        <v>1.2</v>
      </c>
      <c r="C27" s="15" t="n">
        <f aca="false">IF(Wexmoor!F46=1,(Wexmoor!$B$4*(1+$D$5)^($A27-1)*(1-$C$5)-Wexmoor!$B$6*(1+IF($E$5=Wexmoor!$B$7,Wexmoor!$B$7,$E$5))^($A27-1)*(1+$B$5)-Wexmoor!$B$8*(1+IF($E$5=Wexmoor!$B$7,Wexmoor!$B$9,$E$5))^($A27-1))/Wexmoor!H46,"")</f>
        <v>1.13258577409822</v>
      </c>
      <c r="D27" s="15" t="n">
        <f aca="false">IF(Wexmoor!F46=1,(Wexmoor!$B$4*(1+$D$6)^($A27-1)*(1-$C$6)-Wexmoor!$B$6*(1+IF($E$6=Wexmoor!$B$7,Wexmoor!$B$7,$E$6))^($A27-1)*(1+$B$6)-Wexmoor!$B$8*(1+IF($E$6=Wexmoor!$B$7,Wexmoor!$B$9,$E$6))^($A27-1))/Wexmoor!H46,"")</f>
        <v>1.14762797370957</v>
      </c>
      <c r="E27" s="15" t="n">
        <f aca="false">IF(Wexmoor!F46=1,(Wexmoor!$B$4*(1+$D$7)^($A27-1)*(1-$C$7)-Wexmoor!$B$6*(1+IF($E$7=Wexmoor!$B$7,Wexmoor!$B$7,$E$7))^($A27-1)*(1+$B$7)-Wexmoor!$B$8*(1+IF($E$7=Wexmoor!$B$7,Wexmoor!$B$9,$E$7))^($A27-1))/Wexmoor!H46,"")</f>
        <v>1.09979401029015</v>
      </c>
      <c r="F27" s="15" t="n">
        <f aca="false">IF(Wexmoor!F46=1,(Wexmoor!$B$4*(1+$D$8)^($A27-1)*(1-$C$8)-Wexmoor!$B$6*(1+IF($E$8=Wexmoor!$B$7,Wexmoor!$B$7,$E$8))^($A27-1)*(1+$B$8)-Wexmoor!$B$8*(1+IF($E$8=Wexmoor!$B$7,Wexmoor!$B$9,$E$8))^($A27-1))/Wexmoor!H46,"")</f>
        <v>1.00442780941915</v>
      </c>
      <c r="G27" s="15" t="n">
        <f aca="false">IF(Wexmoor!F46=1,(Wexmoor!$B$4*(1+$D$9)^($A27-1)*(1-$C$9)-Wexmoor!$B$6*(1+IF($E$9=Wexmoor!$B$7,Wexmoor!$B$7,$E$9))^($A27-1)*(1+$B$9)-Wexmoor!$B$8*(1+IF($E$9=Wexmoor!$B$7,Wexmoor!$B$9,$E$9))^($A27-1))/Wexmoor!H46,"")</f>
        <v>1.13097033242332</v>
      </c>
      <c r="H27" s="15" t="n">
        <f aca="false">IF(Wexmoor!F46=1,(Wexmoor!$B$4*(1+$D$10)^($A27-1)*(1-$C$10)-Wexmoor!$B$6*(1+IF($E$10=Wexmoor!$B$7,Wexmoor!$B$7,$E$10))^($A27-1)*(1+$B$10)-Wexmoor!$B$8*(1+IF($E$10=Wexmoor!$B$7,Wexmoor!$B$9,$E$10))^($A27-1))/Wexmoor!H46,"")</f>
        <v>1.27250552572918</v>
      </c>
      <c r="I27" s="15" t="n">
        <f aca="false">IF(Wexmoor!F46=1,(Wexmoor!$B$4*(1+$D$11)^($A27-1)*(1-$C$11)-Wexmoor!$B$6*(1+IF($E$11=Wexmoor!$B$7,Wexmoor!$B$7,$E$11))^($A27-1)*(1+$B$11)-Wexmoor!$B$8*(1+IF($E$11=Wexmoor!$B$7,Wexmoor!$B$9,$E$11))^($A27-1))/Wexmoor!H46,"")</f>
        <v>1.07043690649984</v>
      </c>
    </row>
    <row r="28" customFormat="false" ht="15" hidden="false" customHeight="false" outlineLevel="0" collapsed="false">
      <c r="A28" s="0" t="n">
        <v>8</v>
      </c>
      <c r="B28" s="15" t="n">
        <f aca="false">IF(Wexmoor!F47=1,(Wexmoor!$B$4*(1+$D$4)^($A28-1)*(1-$C$4)-Wexmoor!$B$6*(1+IF($E$4=Wexmoor!$B$7,Wexmoor!$B$7,$E$4))^($A28-1)*(1+$B$4)-Wexmoor!$B$8*(1+IF($E$4=Wexmoor!$B$7,Wexmoor!$B$9,$E$4))^($A28-1))/Wexmoor!H47,"")</f>
        <v>1.2</v>
      </c>
      <c r="C28" s="15" t="n">
        <f aca="false">IF(Wexmoor!F47=1,(Wexmoor!$B$4*(1+$D$5)^($A28-1)*(1-$C$5)-Wexmoor!$B$6*(1+IF($E$5=Wexmoor!$B$7,Wexmoor!$B$7,$E$5))^($A28-1)*(1+$B$5)-Wexmoor!$B$8*(1+IF($E$5=Wexmoor!$B$7,Wexmoor!$B$9,$E$5))^($A28-1))/Wexmoor!H47,"")</f>
        <v>1.1321039511094</v>
      </c>
      <c r="D28" s="15" t="n">
        <f aca="false">IF(Wexmoor!F47=1,(Wexmoor!$B$4*(1+$D$6)^($A28-1)*(1-$C$6)-Wexmoor!$B$6*(1+IF($E$6=Wexmoor!$B$7,Wexmoor!$B$7,$E$6))^($A28-1)*(1+$B$6)-Wexmoor!$B$8*(1+IF($E$6=Wexmoor!$B$7,Wexmoor!$B$9,$E$6))^($A28-1))/Wexmoor!H47,"")</f>
        <v>1.14751095955514</v>
      </c>
      <c r="E28" s="15" t="n">
        <f aca="false">IF(Wexmoor!F47=1,(Wexmoor!$B$4*(1+$D$7)^($A28-1)*(1-$C$7)-Wexmoor!$B$6*(1+IF($E$7=Wexmoor!$B$7,Wexmoor!$B$7,$E$7))^($A28-1)*(1+$B$7)-Wexmoor!$B$8*(1+IF($E$7=Wexmoor!$B$7,Wexmoor!$B$9,$E$7))^($A28-1))/Wexmoor!H47,"")</f>
        <v>1.08340144678025</v>
      </c>
      <c r="F28" s="15" t="n">
        <f aca="false">IF(Wexmoor!F47=1,(Wexmoor!$B$4*(1+$D$8)^($A28-1)*(1-$C$8)-Wexmoor!$B$6*(1+IF($E$8=Wexmoor!$B$7,Wexmoor!$B$7,$E$8))^($A28-1)*(1+$B$8)-Wexmoor!$B$8*(1+IF($E$8=Wexmoor!$B$7,Wexmoor!$B$9,$E$8))^($A28-1))/Wexmoor!H47,"")</f>
        <v>0.973527599336339</v>
      </c>
      <c r="G28" s="15" t="n">
        <f aca="false">IF(Wexmoor!F47=1,(Wexmoor!$B$4*(1+$D$9)^($A28-1)*(1-$C$9)-Wexmoor!$B$6*(1+IF($E$9=Wexmoor!$B$7,Wexmoor!$B$7,$E$9))^($A28-1)*(1+$B$9)-Wexmoor!$B$8*(1+IF($E$9=Wexmoor!$B$7,Wexmoor!$B$9,$E$9))^($A28-1))/Wexmoor!H47,"")</f>
        <v>1.11985654878661</v>
      </c>
      <c r="H28" s="15" t="n">
        <f aca="false">IF(Wexmoor!F47=1,(Wexmoor!$B$4*(1+$D$10)^($A28-1)*(1-$C$10)-Wexmoor!$B$6*(1+IF($E$10=Wexmoor!$B$7,Wexmoor!$B$7,$E$10))^($A28-1)*(1+$B$10)-Wexmoor!$B$8*(1+IF($E$10=Wexmoor!$B$7,Wexmoor!$B$9,$E$10))^($A28-1))/Wexmoor!H47,"")</f>
        <v>1.28501011907768</v>
      </c>
      <c r="I28" s="15" t="n">
        <f aca="false">IF(Wexmoor!F47=1,(Wexmoor!$B$4*(1+$D$11)^($A28-1)*(1-$C$11)-Wexmoor!$B$6*(1+IF($E$11=Wexmoor!$B$7,Wexmoor!$B$7,$E$11))^($A28-1)*(1+$B$11)-Wexmoor!$B$8*(1+IF($E$11=Wexmoor!$B$7,Wexmoor!$B$9,$E$11))^($A28-1))/Wexmoor!H47,"")</f>
        <v>1.06176571663774</v>
      </c>
    </row>
    <row r="29" customFormat="false" ht="15" hidden="false" customHeight="false" outlineLevel="0" collapsed="false">
      <c r="A29" s="0" t="n">
        <v>9</v>
      </c>
      <c r="B29" s="15" t="n">
        <f aca="false">IF(Wexmoor!F48=1,(Wexmoor!$B$4*(1+$D$4)^($A29-1)*(1-$C$4)-Wexmoor!$B$6*(1+IF($E$4=Wexmoor!$B$7,Wexmoor!$B$7,$E$4))^($A29-1)*(1+$B$4)-Wexmoor!$B$8*(1+IF($E$4=Wexmoor!$B$7,Wexmoor!$B$9,$E$4))^($A29-1))/Wexmoor!H48,"")</f>
        <v>1.2</v>
      </c>
      <c r="C29" s="15" t="n">
        <f aca="false">IF(Wexmoor!F48=1,(Wexmoor!$B$4*(1+$D$5)^($A29-1)*(1-$C$5)-Wexmoor!$B$6*(1+IF($E$5=Wexmoor!$B$7,Wexmoor!$B$7,$E$5))^($A29-1)*(1+$B$5)-Wexmoor!$B$8*(1+IF($E$5=Wexmoor!$B$7,Wexmoor!$B$9,$E$5))^($A29-1))/Wexmoor!H48,"")</f>
        <v>1.13161759244328</v>
      </c>
      <c r="D29" s="15" t="n">
        <f aca="false">IF(Wexmoor!F48=1,(Wexmoor!$B$4*(1+$D$6)^($A29-1)*(1-$C$6)-Wexmoor!$B$6*(1+IF($E$6=Wexmoor!$B$7,Wexmoor!$B$7,$E$6))^($A29-1)*(1+$B$6)-Wexmoor!$B$8*(1+IF($E$6=Wexmoor!$B$7,Wexmoor!$B$9,$E$6))^($A29-1))/Wexmoor!H48,"")</f>
        <v>1.14739284387908</v>
      </c>
      <c r="E29" s="15" t="n">
        <f aca="false">IF(Wexmoor!F48=1,(Wexmoor!$B$4*(1+$D$7)^($A29-1)*(1-$C$7)-Wexmoor!$B$6*(1+IF($E$7=Wexmoor!$B$7,Wexmoor!$B$7,$E$7))^($A29-1)*(1+$B$7)-Wexmoor!$B$8*(1+IF($E$7=Wexmoor!$B$7,Wexmoor!$B$9,$E$7))^($A29-1))/Wexmoor!H48,"")</f>
        <v>1.06709288031678</v>
      </c>
      <c r="F29" s="15" t="n">
        <f aca="false">IF(Wexmoor!F48=1,(Wexmoor!$B$4*(1+$D$8)^($A29-1)*(1-$C$8)-Wexmoor!$B$6*(1+IF($E$8=Wexmoor!$B$7,Wexmoor!$B$7,$E$8))^($A29-1)*(1+$B$8)-Wexmoor!$B$8*(1+IF($E$8=Wexmoor!$B$7,Wexmoor!$B$9,$E$8))^($A29-1))/Wexmoor!H48,"")</f>
        <v>0.94308483613268</v>
      </c>
      <c r="G29" s="15" t="n">
        <f aca="false">IF(Wexmoor!F48=1,(Wexmoor!$B$4*(1+$D$9)^($A29-1)*(1-$C$9)-Wexmoor!$B$6*(1+IF($E$9=Wexmoor!$B$7,Wexmoor!$B$7,$E$9))^($A29-1)*(1+$B$9)-Wexmoor!$B$8*(1+IF($E$9=Wexmoor!$B$7,Wexmoor!$B$9,$E$9))^($A29-1))/Wexmoor!H48,"")</f>
        <v>1.10885161451985</v>
      </c>
      <c r="H29" s="15" t="n">
        <f aca="false">IF(Wexmoor!F48=1,(Wexmoor!$B$4*(1+$D$10)^($A29-1)*(1-$C$10)-Wexmoor!$B$6*(1+IF($E$10=Wexmoor!$B$7,Wexmoor!$B$7,$E$10))^($A29-1)*(1+$B$10)-Wexmoor!$B$8*(1+IF($E$10=Wexmoor!$B$7,Wexmoor!$B$9,$E$10))^($A29-1))/Wexmoor!H48,"")</f>
        <v>1.29763800429612</v>
      </c>
      <c r="I29" s="15" t="n">
        <f aca="false">IF(Wexmoor!F48=1,(Wexmoor!$B$4*(1+$D$11)^($A29-1)*(1-$C$11)-Wexmoor!$B$6*(1+IF($E$11=Wexmoor!$B$7,Wexmoor!$B$7,$E$11))^($A29-1)*(1+$B$11)-Wexmoor!$B$8*(1+IF($E$11=Wexmoor!$B$7,Wexmoor!$B$9,$E$11))^($A29-1))/Wexmoor!H48,"")</f>
        <v>1.05309308882189</v>
      </c>
    </row>
    <row r="30" customFormat="false" ht="15" hidden="false" customHeight="false" outlineLevel="0" collapsed="false">
      <c r="A30" s="0" t="n">
        <v>10</v>
      </c>
      <c r="B30" s="15" t="n">
        <f aca="false">IF(Wexmoor!F49=1,(Wexmoor!$B$4*(1+$D$4)^($A30-1)*(1-$C$4)-Wexmoor!$B$6*(1+IF($E$4=Wexmoor!$B$7,Wexmoor!$B$7,$E$4))^($A30-1)*(1+$B$4)-Wexmoor!$B$8*(1+IF($E$4=Wexmoor!$B$7,Wexmoor!$B$9,$E$4))^($A30-1))/Wexmoor!H49,"")</f>
        <v>1.2</v>
      </c>
      <c r="C30" s="15" t="n">
        <f aca="false">IF(Wexmoor!F49=1,(Wexmoor!$B$4*(1+$D$5)^($A30-1)*(1-$C$5)-Wexmoor!$B$6*(1+IF($E$5=Wexmoor!$B$7,Wexmoor!$B$7,$E$5))^($A30-1)*(1+$B$5)-Wexmoor!$B$8*(1+IF($E$5=Wexmoor!$B$7,Wexmoor!$B$9,$E$5))^($A30-1))/Wexmoor!H49,"")</f>
        <v>1.13112663964917</v>
      </c>
      <c r="D30" s="15" t="n">
        <f aca="false">IF(Wexmoor!F49=1,(Wexmoor!$B$4*(1+$D$6)^($A30-1)*(1-$C$6)-Wexmoor!$B$6*(1+IF($E$6=Wexmoor!$B$7,Wexmoor!$B$7,$E$6))^($A30-1)*(1+$B$6)-Wexmoor!$B$8*(1+IF($E$6=Wexmoor!$B$7,Wexmoor!$B$9,$E$6))^($A30-1))/Wexmoor!H49,"")</f>
        <v>1.14727361248623</v>
      </c>
      <c r="E30" s="15" t="n">
        <f aca="false">IF(Wexmoor!F49=1,(Wexmoor!$B$4*(1+$D$7)^($A30-1)*(1-$C$7)-Wexmoor!$B$6*(1+IF($E$7=Wexmoor!$B$7,Wexmoor!$B$7,$E$7))^($A30-1)*(1+$B$7)-Wexmoor!$B$8*(1+IF($E$7=Wexmoor!$B$7,Wexmoor!$B$9,$E$7))^($A30-1))/Wexmoor!H49,"")</f>
        <v>1.05086677180965</v>
      </c>
      <c r="F30" s="15" t="n">
        <f aca="false">IF(Wexmoor!F49=1,(Wexmoor!$B$4*(1+$D$8)^($A30-1)*(1-$C$8)-Wexmoor!$B$6*(1+IF($E$8=Wexmoor!$B$7,Wexmoor!$B$7,$E$8))^($A30-1)*(1+$B$8)-Wexmoor!$B$8*(1+IF($E$8=Wexmoor!$B$7,Wexmoor!$B$9,$E$8))^($A30-1))/Wexmoor!H49,"")</f>
        <v>0.913089829627291</v>
      </c>
      <c r="G30" s="15" t="n">
        <f aca="false">IF(Wexmoor!F49=1,(Wexmoor!$B$4*(1+$D$9)^($A30-1)*(1-$C$9)-Wexmoor!$B$6*(1+IF($E$9=Wexmoor!$B$7,Wexmoor!$B$7,$E$9))^($A30-1)*(1+$B$9)-Wexmoor!$B$8*(1+IF($E$9=Wexmoor!$B$7,Wexmoor!$B$9,$E$9))^($A30-1))/Wexmoor!H49,"")</f>
        <v>1.0979544620151</v>
      </c>
      <c r="H30" s="15" t="n">
        <f aca="false">IF(Wexmoor!F49=1,(Wexmoor!$B$4*(1+$D$10)^($A30-1)*(1-$C$10)-Wexmoor!$B$6*(1+IF($E$10=Wexmoor!$B$7,Wexmoor!$B$7,$E$10))^($A30-1)*(1+$B$10)-Wexmoor!$B$8*(1+IF($E$10=Wexmoor!$B$7,Wexmoor!$B$9,$E$10))^($A30-1))/Wexmoor!H49,"")</f>
        <v>1.31039040690386</v>
      </c>
      <c r="I30" s="15" t="n">
        <f aca="false">IF(Wexmoor!F49=1,(Wexmoor!$B$4*(1+$D$11)^($A30-1)*(1-$C$11)-Wexmoor!$B$6*(1+IF($E$11=Wexmoor!$B$7,Wexmoor!$B$7,$E$11))^($A30-1)*(1+$B$11)-Wexmoor!$B$8*(1+IF($E$11=Wexmoor!$B$7,Wexmoor!$B$9,$E$11))^($A30-1))/Wexmoor!H49,"")</f>
        <v>1.04441851636906</v>
      </c>
    </row>
    <row r="31" customFormat="false" ht="15" hidden="false" customHeight="false" outlineLevel="0" collapsed="false">
      <c r="A31" s="0" t="n">
        <v>11</v>
      </c>
      <c r="B31" s="15" t="n">
        <f aca="false">IF(Wexmoor!F50=1,(Wexmoor!$B$4*(1+$D$4)^($A31-1)*(1-$C$4)-Wexmoor!$B$6*(1+IF($E$4=Wexmoor!$B$7,Wexmoor!$B$7,$E$4))^($A31-1)*(1+$B$4)-Wexmoor!$B$8*(1+IF($E$4=Wexmoor!$B$7,Wexmoor!$B$9,$E$4))^($A31-1))/Wexmoor!H50,"")</f>
        <v>1.2</v>
      </c>
      <c r="C31" s="15" t="n">
        <f aca="false">IF(Wexmoor!F50=1,(Wexmoor!$B$4*(1+$D$5)^($A31-1)*(1-$C$5)-Wexmoor!$B$6*(1+IF($E$5=Wexmoor!$B$7,Wexmoor!$B$7,$E$5))^($A31-1)*(1+$B$5)-Wexmoor!$B$8*(1+IF($E$5=Wexmoor!$B$7,Wexmoor!$B$9,$E$5))^($A31-1))/Wexmoor!H50,"")</f>
        <v>1.13063103327778</v>
      </c>
      <c r="D31" s="15" t="n">
        <f aca="false">IF(Wexmoor!F50=1,(Wexmoor!$B$4*(1+$D$6)^($A31-1)*(1-$C$6)-Wexmoor!$B$6*(1+IF($E$6=Wexmoor!$B$7,Wexmoor!$B$7,$E$6))^($A31-1)*(1+$B$6)-Wexmoor!$B$8*(1+IF($E$6=Wexmoor!$B$7,Wexmoor!$B$9,$E$6))^($A31-1))/Wexmoor!H50,"")</f>
        <v>1.14715325093889</v>
      </c>
      <c r="E31" s="15" t="n">
        <f aca="false">IF(Wexmoor!F50=1,(Wexmoor!$B$4*(1+$D$7)^($A31-1)*(1-$C$7)-Wexmoor!$B$6*(1+IF($E$7=Wexmoor!$B$7,Wexmoor!$B$7,$E$7))^($A31-1)*(1+$B$7)-Wexmoor!$B$8*(1+IF($E$7=Wexmoor!$B$7,Wexmoor!$B$9,$E$7))^($A31-1))/Wexmoor!H50,"")</f>
        <v>1.034721585479</v>
      </c>
      <c r="F31" s="15" t="n">
        <f aca="false">IF(Wexmoor!F50=1,(Wexmoor!$B$4*(1+$D$8)^($A31-1)*(1-$C$8)-Wexmoor!$B$6*(1+IF($E$8=Wexmoor!$B$7,Wexmoor!$B$7,$E$8))^($A31-1)*(1+$B$8)-Wexmoor!$B$8*(1+IF($E$8=Wexmoor!$B$7,Wexmoor!$B$9,$E$8))^($A31-1))/Wexmoor!H50,"")</f>
        <v>0.883533056170014</v>
      </c>
      <c r="G31" s="15" t="n">
        <f aca="false">IF(Wexmoor!F50=1,(Wexmoor!$B$4*(1+$D$9)^($A31-1)*(1-$C$9)-Wexmoor!$B$6*(1+IF($E$9=Wexmoor!$B$7,Wexmoor!$B$7,$E$9))^($A31-1)*(1+$B$9)-Wexmoor!$B$8*(1+IF($E$9=Wexmoor!$B$7,Wexmoor!$B$9,$E$9))^($A31-1))/Wexmoor!H50,"")</f>
        <v>1.08716403411361</v>
      </c>
      <c r="H31" s="15" t="n">
        <f aca="false">IF(Wexmoor!F50=1,(Wexmoor!$B$4*(1+$D$10)^($A31-1)*(1-$C$10)-Wexmoor!$B$6*(1+IF($E$10=Wexmoor!$B$7,Wexmoor!$B$7,$E$10))^($A31-1)*(1+$B$10)-Wexmoor!$B$8*(1+IF($E$10=Wexmoor!$B$7,Wexmoor!$B$9,$E$10))^($A31-1))/Wexmoor!H50,"")</f>
        <v>1.3232685648572</v>
      </c>
      <c r="I31" s="15" t="n">
        <f aca="false">IF(Wexmoor!F50=1,(Wexmoor!$B$4*(1+$D$11)^($A31-1)*(1-$C$11)-Wexmoor!$B$6*(1+IF($E$11=Wexmoor!$B$7,Wexmoor!$B$7,$E$11))^($A31-1)*(1+$B$11)-Wexmoor!$B$8*(1+IF($E$11=Wexmoor!$B$7,Wexmoor!$B$9,$E$11))^($A31-1))/Wexmoor!H50,"")</f>
        <v>1.03574148689666</v>
      </c>
    </row>
    <row r="32" customFormat="false" ht="15" hidden="false" customHeight="false" outlineLevel="0" collapsed="false">
      <c r="A32" s="0" t="n">
        <v>12</v>
      </c>
      <c r="B32" s="15" t="n">
        <f aca="false">IF(Wexmoor!F51=1,(Wexmoor!$B$4*(1+$D$4)^($A32-1)*(1-$C$4)-Wexmoor!$B$6*(1+IF($E$4=Wexmoor!$B$7,Wexmoor!$B$7,$E$4))^($A32-1)*(1+$B$4)-Wexmoor!$B$8*(1+IF($E$4=Wexmoor!$B$7,Wexmoor!$B$9,$E$4))^($A32-1))/Wexmoor!H51,"")</f>
        <v>1.2</v>
      </c>
      <c r="C32" s="15" t="n">
        <f aca="false">IF(Wexmoor!F51=1,(Wexmoor!$B$4*(1+$D$5)^($A32-1)*(1-$C$5)-Wexmoor!$B$6*(1+IF($E$5=Wexmoor!$B$7,Wexmoor!$B$7,$E$5))^($A32-1)*(1+$B$5)-Wexmoor!$B$8*(1+IF($E$5=Wexmoor!$B$7,Wexmoor!$B$9,$E$5))^($A32-1))/Wexmoor!H51,"")</f>
        <v>1.13013071285982</v>
      </c>
      <c r="D32" s="15" t="n">
        <f aca="false">IF(Wexmoor!F51=1,(Wexmoor!$B$4*(1+$D$6)^($A32-1)*(1-$C$6)-Wexmoor!$B$6*(1+IF($E$6=Wexmoor!$B$7,Wexmoor!$B$7,$E$6))^($A32-1)*(1+$B$6)-Wexmoor!$B$8*(1+IF($E$6=Wexmoor!$B$7,Wexmoor!$B$9,$E$6))^($A32-1))/Wexmoor!H51,"")</f>
        <v>1.14703174455167</v>
      </c>
      <c r="E32" s="15" t="n">
        <f aca="false">IF(Wexmoor!F51=1,(Wexmoor!$B$4*(1+$D$7)^($A32-1)*(1-$C$7)-Wexmoor!$B$6*(1+IF($E$7=Wexmoor!$B$7,Wexmoor!$B$7,$E$7))^($A32-1)*(1+$B$7)-Wexmoor!$B$8*(1+IF($E$7=Wexmoor!$B$7,Wexmoor!$B$9,$E$7))^($A32-1))/Wexmoor!H51,"")</f>
        <v>1.01865578859387</v>
      </c>
      <c r="F32" s="15" t="n">
        <f aca="false">IF(Wexmoor!F51=1,(Wexmoor!$B$4*(1+$D$8)^($A32-1)*(1-$C$8)-Wexmoor!$B$6*(1+IF($E$8=Wexmoor!$B$7,Wexmoor!$B$7,$E$8))^($A32-1)*(1+$B$8)-Wexmoor!$B$8*(1+IF($E$8=Wexmoor!$B$7,Wexmoor!$B$9,$E$8))^($A32-1))/Wexmoor!H51,"")</f>
        <v>0.854405155133782</v>
      </c>
      <c r="G32" s="15" t="n">
        <f aca="false">IF(Wexmoor!F51=1,(Wexmoor!$B$4*(1+$D$9)^($A32-1)*(1-$C$9)-Wexmoor!$B$6*(1+IF($E$9=Wexmoor!$B$7,Wexmoor!$B$7,$E$9))^($A32-1)*(1+$B$9)-Wexmoor!$B$8*(1+IF($E$9=Wexmoor!$B$7,Wexmoor!$B$9,$E$9))^($A32-1))/Wexmoor!H51,"")</f>
        <v>1.0764792840031</v>
      </c>
      <c r="H32" s="15" t="n">
        <f aca="false">IF(Wexmoor!F51=1,(Wexmoor!$B$4*(1+$D$10)^($A32-1)*(1-$C$10)-Wexmoor!$B$6*(1+IF($E$10=Wexmoor!$B$7,Wexmoor!$B$7,$E$10))^($A32-1)*(1+$B$10)-Wexmoor!$B$8*(1+IF($E$10=Wexmoor!$B$7,Wexmoor!$B$9,$E$10))^($A32-1))/Wexmoor!H51,"")</f>
        <v>1.33627372868273</v>
      </c>
      <c r="I32" s="15" t="n">
        <f aca="false">IF(Wexmoor!F51=1,(Wexmoor!$B$4*(1+$D$11)^($A32-1)*(1-$C$11)-Wexmoor!$B$6*(1+IF($E$11=Wexmoor!$B$7,Wexmoor!$B$7,$E$11))^($A32-1)*(1+$B$11)-Wexmoor!$B$8*(1+IF($E$11=Wexmoor!$B$7,Wexmoor!$B$9,$E$11))^($A32-1))/Wexmoor!H51,"")</f>
        <v>1.02706148218303</v>
      </c>
    </row>
    <row r="33" customFormat="false" ht="15" hidden="false" customHeight="false" outlineLevel="0" collapsed="false">
      <c r="A33" s="0" t="n">
        <v>13</v>
      </c>
      <c r="B33" s="15" t="n">
        <f aca="false">IF(Wexmoor!F52=1,(Wexmoor!$B$4*(1+$D$4)^($A33-1)*(1-$C$4)-Wexmoor!$B$6*(1+IF($E$4=Wexmoor!$B$7,Wexmoor!$B$7,$E$4))^($A33-1)*(1+$B$4)-Wexmoor!$B$8*(1+IF($E$4=Wexmoor!$B$7,Wexmoor!$B$9,$E$4))^($A33-1))/Wexmoor!H52,"")</f>
        <v>1.2</v>
      </c>
      <c r="C33" s="15" t="n">
        <f aca="false">IF(Wexmoor!F52=1,(Wexmoor!$B$4*(1+$D$5)^($A33-1)*(1-$C$5)-Wexmoor!$B$6*(1+IF($E$5=Wexmoor!$B$7,Wexmoor!$B$7,$E$5))^($A33-1)*(1+$B$5)-Wexmoor!$B$8*(1+IF($E$5=Wexmoor!$B$7,Wexmoor!$B$9,$E$5))^($A33-1))/Wexmoor!H52,"")</f>
        <v>1.12962561688395</v>
      </c>
      <c r="D33" s="15" t="n">
        <f aca="false">IF(Wexmoor!F52=1,(Wexmoor!$B$4*(1+$D$6)^($A33-1)*(1-$C$6)-Wexmoor!$B$6*(1+IF($E$6=Wexmoor!$B$7,Wexmoor!$B$7,$E$6))^($A33-1)*(1+$B$6)-Wexmoor!$B$8*(1+IF($E$6=Wexmoor!$B$7,Wexmoor!$B$9,$E$6))^($A33-1))/Wexmoor!H52,"")</f>
        <v>1.1469090783861</v>
      </c>
      <c r="E33" s="15" t="n">
        <f aca="false">IF(Wexmoor!F52=1,(Wexmoor!$B$4*(1+$D$7)^($A33-1)*(1-$C$7)-Wexmoor!$B$6*(1+IF($E$7=Wexmoor!$B$7,Wexmoor!$B$7,$E$7))^($A33-1)*(1+$B$7)-Wexmoor!$B$8*(1+IF($E$7=Wexmoor!$B$7,Wexmoor!$B$9,$E$7))^($A33-1))/Wexmoor!H52,"")</f>
        <v>1.00266785120775</v>
      </c>
      <c r="F33" s="15" t="n">
        <f aca="false">IF(Wexmoor!F52=1,(Wexmoor!$B$4*(1+$D$8)^($A33-1)*(1-$C$8)-Wexmoor!$B$6*(1+IF($E$8=Wexmoor!$B$7,Wexmoor!$B$7,$E$8))^($A33-1)*(1+$B$8)-Wexmoor!$B$8*(1+IF($E$8=Wexmoor!$B$7,Wexmoor!$B$9,$E$8))^($A33-1))/Wexmoor!H52,"")</f>
        <v>0.825696925466703</v>
      </c>
      <c r="G33" s="15" t="n">
        <f aca="false">IF(Wexmoor!F52=1,(Wexmoor!$B$4*(1+$D$9)^($A33-1)*(1-$C$9)-Wexmoor!$B$6*(1+IF($E$9=Wexmoor!$B$7,Wexmoor!$B$7,$E$9))^($A33-1)*(1+$B$9)-Wexmoor!$B$8*(1+IF($E$9=Wexmoor!$B$7,Wexmoor!$B$9,$E$9))^($A33-1))/Wexmoor!H52,"")</f>
        <v>1.06589917511612</v>
      </c>
      <c r="H33" s="15" t="n">
        <f aca="false">IF(Wexmoor!F52=1,(Wexmoor!$B$4*(1+$D$10)^($A33-1)*(1-$C$10)-Wexmoor!$B$6*(1+IF($E$10=Wexmoor!$B$7,Wexmoor!$B$7,$E$10))^($A33-1)*(1+$B$10)-Wexmoor!$B$8*(1+IF($E$10=Wexmoor!$B$7,Wexmoor!$B$9,$E$10))^($A33-1))/Wexmoor!H52,"")</f>
        <v>1.34940716161237</v>
      </c>
      <c r="I33" s="15" t="n">
        <f aca="false">IF(Wexmoor!F52=1,(Wexmoor!$B$4*(1+$D$11)^($A33-1)*(1-$C$11)-Wexmoor!$B$6*(1+IF($E$11=Wexmoor!$B$7,Wexmoor!$B$7,$E$11))^($A33-1)*(1+$B$11)-Wexmoor!$B$8*(1+IF($E$11=Wexmoor!$B$7,Wexmoor!$B$9,$E$11))^($A33-1))/Wexmoor!H52,"")</f>
        <v>1.01837797802409</v>
      </c>
    </row>
    <row r="34" customFormat="false" ht="15" hidden="false" customHeight="false" outlineLevel="0" collapsed="false">
      <c r="A34" s="0" t="n">
        <v>14</v>
      </c>
      <c r="B34" s="15" t="n">
        <f aca="false">IF(Wexmoor!F53=1,(Wexmoor!$B$4*(1+$D$4)^($A34-1)*(1-$C$4)-Wexmoor!$B$6*(1+IF($E$4=Wexmoor!$B$7,Wexmoor!$B$7,$E$4))^($A34-1)*(1+$B$4)-Wexmoor!$B$8*(1+IF($E$4=Wexmoor!$B$7,Wexmoor!$B$9,$E$4))^($A34-1))/Wexmoor!H53,"")</f>
        <v>1.2</v>
      </c>
      <c r="C34" s="15" t="n">
        <f aca="false">IF(Wexmoor!F53=1,(Wexmoor!$B$4*(1+$D$5)^($A34-1)*(1-$C$5)-Wexmoor!$B$6*(1+IF($E$5=Wexmoor!$B$7,Wexmoor!$B$7,$E$5))^($A34-1)*(1+$B$5)-Wexmoor!$B$8*(1+IF($E$5=Wexmoor!$B$7,Wexmoor!$B$9,$E$5))^($A34-1))/Wexmoor!H53,"")</f>
        <v>1.12911568277426</v>
      </c>
      <c r="D34" s="15" t="n">
        <f aca="false">IF(Wexmoor!F53=1,(Wexmoor!$B$4*(1+$D$6)^($A34-1)*(1-$C$6)-Wexmoor!$B$6*(1+IF($E$6=Wexmoor!$B$7,Wexmoor!$B$7,$E$6))^($A34-1)*(1+$B$6)-Wexmoor!$B$8*(1+IF($E$6=Wexmoor!$B$7,Wexmoor!$B$9,$E$6))^($A34-1))/Wexmoor!H53,"")</f>
        <v>1.14678523724518</v>
      </c>
      <c r="E34" s="15" t="n">
        <f aca="false">IF(Wexmoor!F53=1,(Wexmoor!$B$4*(1+$D$7)^($A34-1)*(1-$C$7)-Wexmoor!$B$6*(1+IF($E$7=Wexmoor!$B$7,Wexmoor!$B$7,$E$7))^($A34-1)*(1+$B$7)-Wexmoor!$B$8*(1+IF($E$7=Wexmoor!$B$7,Wexmoor!$B$9,$E$7))^($A34-1))/Wexmoor!H53,"")</f>
        <v>0.986756245890971</v>
      </c>
      <c r="F34" s="15" t="n">
        <f aca="false">IF(Wexmoor!F53=1,(Wexmoor!$B$4*(1+$D$8)^($A34-1)*(1-$C$8)-Wexmoor!$B$6*(1+IF($E$8=Wexmoor!$B$7,Wexmoor!$B$7,$E$8))^($A34-1)*(1+$B$8)-Wexmoor!$B$8*(1+IF($E$8=Wexmoor!$B$7,Wexmoor!$B$9,$E$8))^($A34-1))/Wexmoor!H53,"")</f>
        <v>0.797399322302467</v>
      </c>
      <c r="G34" s="15" t="n">
        <f aca="false">IF(Wexmoor!F53=1,(Wexmoor!$B$4*(1+$D$9)^($A34-1)*(1-$C$9)-Wexmoor!$B$6*(1+IF($E$9=Wexmoor!$B$7,Wexmoor!$B$7,$E$9))^($A34-1)*(1+$B$9)-Wexmoor!$B$8*(1+IF($E$9=Wexmoor!$B$7,Wexmoor!$B$9,$E$9))^($A34-1))/Wexmoor!H53,"")</f>
        <v>1.05542268102934</v>
      </c>
      <c r="H34" s="15" t="n">
        <f aca="false">IF(Wexmoor!F53=1,(Wexmoor!$B$4*(1+$D$10)^($A34-1)*(1-$C$10)-Wexmoor!$B$6*(1+IF($E$10=Wexmoor!$B$7,Wexmoor!$B$7,$E$10))^($A34-1)*(1+$B$10)-Wexmoor!$B$8*(1+IF($E$10=Wexmoor!$B$7,Wexmoor!$B$9,$E$10))^($A34-1))/Wexmoor!H53,"")</f>
        <v>1.36267013972009</v>
      </c>
      <c r="I34" s="15" t="n">
        <f aca="false">IF(Wexmoor!F53=1,(Wexmoor!$B$4*(1+$D$11)^($A34-1)*(1-$C$11)-Wexmoor!$B$6*(1+IF($E$11=Wexmoor!$B$7,Wexmoor!$B$7,$E$11))^($A34-1)*(1+$B$11)-Wexmoor!$B$8*(1+IF($E$11=Wexmoor!$B$7,Wexmoor!$B$9,$E$11))^($A34-1))/Wexmoor!H53,"")</f>
        <v>1.00969044408651</v>
      </c>
    </row>
    <row r="35" customFormat="false" ht="15" hidden="false" customHeight="false" outlineLevel="0" collapsed="false">
      <c r="A35" s="0" t="n">
        <v>15</v>
      </c>
      <c r="B35" s="15" t="n">
        <f aca="false">IF(Wexmoor!F54=1,(Wexmoor!$B$4*(1+$D$4)^($A35-1)*(1-$C$4)-Wexmoor!$B$6*(1+IF($E$4=Wexmoor!$B$7,Wexmoor!$B$7,$E$4))^($A35-1)*(1+$B$4)-Wexmoor!$B$8*(1+IF($E$4=Wexmoor!$B$7,Wexmoor!$B$9,$E$4))^($A35-1))/Wexmoor!H54,"")</f>
        <v>1.2</v>
      </c>
      <c r="C35" s="15" t="n">
        <f aca="false">IF(Wexmoor!F54=1,(Wexmoor!$B$4*(1+$D$5)^($A35-1)*(1-$C$5)-Wexmoor!$B$6*(1+IF($E$5=Wexmoor!$B$7,Wexmoor!$B$7,$E$5))^($A35-1)*(1+$B$5)-Wexmoor!$B$8*(1+IF($E$5=Wexmoor!$B$7,Wexmoor!$B$9,$E$5))^($A35-1))/Wexmoor!H54,"")</f>
        <v>1.1286008468671</v>
      </c>
      <c r="D35" s="15" t="n">
        <f aca="false">IF(Wexmoor!F54=1,(Wexmoor!$B$4*(1+$D$6)^($A35-1)*(1-$C$6)-Wexmoor!$B$6*(1+IF($E$6=Wexmoor!$B$7,Wexmoor!$B$7,$E$6))^($A35-1)*(1+$B$6)-Wexmoor!$B$8*(1+IF($E$6=Wexmoor!$B$7,Wexmoor!$B$9,$E$6))^($A35-1))/Wexmoor!H54,"")</f>
        <v>1.14666020566772</v>
      </c>
      <c r="E35" s="15" t="n">
        <f aca="false">IF(Wexmoor!F54=1,(Wexmoor!$B$4*(1+$D$7)^($A35-1)*(1-$C$7)-Wexmoor!$B$6*(1+IF($E$7=Wexmoor!$B$7,Wexmoor!$B$7,$E$7))^($A35-1)*(1+$B$7)-Wexmoor!$B$8*(1+IF($E$7=Wexmoor!$B$7,Wexmoor!$B$9,$E$7))^($A35-1))/Wexmoor!H54,"")</f>
        <v>0.970919447459674</v>
      </c>
      <c r="F35" s="15" t="n">
        <f aca="false">IF(Wexmoor!F54=1,(Wexmoor!$B$4*(1+$D$8)^($A35-1)*(1-$C$8)-Wexmoor!$B$6*(1+IF($E$8=Wexmoor!$B$7,Wexmoor!$B$7,$E$8))^($A35-1)*(1+$B$8)-Wexmoor!$B$8*(1+IF($E$8=Wexmoor!$B$7,Wexmoor!$B$9,$E$8))^($A35-1))/Wexmoor!H54,"")</f>
        <v>0.769503453627729</v>
      </c>
      <c r="G35" s="15" t="n">
        <f aca="false">IF(Wexmoor!F54=1,(Wexmoor!$B$4*(1+$D$9)^($A35-1)*(1-$C$9)-Wexmoor!$B$6*(1+IF($E$9=Wexmoor!$B$7,Wexmoor!$B$7,$E$9))^($A35-1)*(1+$B$9)-Wexmoor!$B$8*(1+IF($E$9=Wexmoor!$B$7,Wexmoor!$B$9,$E$9))^($A35-1))/Wexmoor!H54,"")</f>
        <v>1.04504878536381</v>
      </c>
      <c r="H35" s="15" t="n">
        <f aca="false">IF(Wexmoor!F54=1,(Wexmoor!$B$4*(1+$D$10)^($A35-1)*(1-$C$10)-Wexmoor!$B$6*(1+IF($E$10=Wexmoor!$B$7,Wexmoor!$B$7,$E$10))^($A35-1)*(1+$B$10)-Wexmoor!$B$8*(1+IF($E$10=Wexmoor!$B$7,Wexmoor!$B$9,$E$10))^($A35-1))/Wexmoor!H54,"")</f>
        <v>1.37606395206032</v>
      </c>
      <c r="I35" s="15" t="n">
        <f aca="false">IF(Wexmoor!F54=1,(Wexmoor!$B$4*(1+$D$11)^($A35-1)*(1-$C$11)-Wexmoor!$B$6*(1+IF($E$11=Wexmoor!$B$7,Wexmoor!$B$7,$E$11))^($A35-1)*(1+$B$11)-Wexmoor!$B$8*(1+IF($E$11=Wexmoor!$B$7,Wexmoor!$B$9,$E$11))^($A35-1))/Wexmoor!H54,"")</f>
        <v>1.00099834375702</v>
      </c>
    </row>
    <row r="36" customFormat="false" ht="15" hidden="false" customHeight="false" outlineLevel="0" collapsed="false">
      <c r="A36" s="0" t="n">
        <v>16</v>
      </c>
      <c r="B36" s="15" t="n">
        <f aca="false">IF(Wexmoor!F55=1,(Wexmoor!$B$4*(1+$D$4)^($A36-1)*(1-$C$4)-Wexmoor!$B$6*(1+IF($E$4=Wexmoor!$B$7,Wexmoor!$B$7,$E$4))^($A36-1)*(1+$B$4)-Wexmoor!$B$8*(1+IF($E$4=Wexmoor!$B$7,Wexmoor!$B$9,$E$4))^($A36-1))/Wexmoor!H55,"")</f>
        <v>1.2</v>
      </c>
      <c r="C36" s="15" t="n">
        <f aca="false">IF(Wexmoor!F55=1,(Wexmoor!$B$4*(1+$D$5)^($A36-1)*(1-$C$5)-Wexmoor!$B$6*(1+IF($E$5=Wexmoor!$B$7,Wexmoor!$B$7,$E$5))^($A36-1)*(1+$B$5)-Wexmoor!$B$8*(1+IF($E$5=Wexmoor!$B$7,Wexmoor!$B$9,$E$5))^($A36-1))/Wexmoor!H55,"")</f>
        <v>1.12808104438729</v>
      </c>
      <c r="D36" s="15" t="n">
        <f aca="false">IF(Wexmoor!F55=1,(Wexmoor!$B$4*(1+$D$6)^($A36-1)*(1-$C$6)-Wexmoor!$B$6*(1+IF($E$6=Wexmoor!$B$7,Wexmoor!$B$7,$E$6))^($A36-1)*(1+$B$6)-Wexmoor!$B$8*(1+IF($E$6=Wexmoor!$B$7,Wexmoor!$B$9,$E$6))^($A36-1))/Wexmoor!H55,"")</f>
        <v>1.14653396792263</v>
      </c>
      <c r="E36" s="15" t="n">
        <f aca="false">IF(Wexmoor!F55=1,(Wexmoor!$B$4*(1+$D$7)^($A36-1)*(1-$C$7)-Wexmoor!$B$6*(1+IF($E$7=Wexmoor!$B$7,Wexmoor!$B$7,$E$7))^($A36-1)*(1+$B$7)-Wexmoor!$B$8*(1+IF($E$7=Wexmoor!$B$7,Wexmoor!$B$9,$E$7))^($A36-1))/Wexmoor!H55,"")</f>
        <v>0.955155932701368</v>
      </c>
      <c r="F36" s="15" t="n">
        <f aca="false">IF(Wexmoor!F55=1,(Wexmoor!$B$4*(1+$D$8)^($A36-1)*(1-$C$8)-Wexmoor!$B$6*(1+IF($E$8=Wexmoor!$B$7,Wexmoor!$B$7,$E$8))^($A36-1)*(1+$B$8)-Wexmoor!$B$8*(1+IF($E$8=Wexmoor!$B$7,Wexmoor!$B$9,$E$8))^($A36-1))/Wexmoor!H55,"")</f>
        <v>0.742000577005132</v>
      </c>
      <c r="G36" s="15" t="n">
        <f aca="false">IF(Wexmoor!F55=1,(Wexmoor!$B$4*(1+$D$9)^($A36-1)*(1-$C$9)-Wexmoor!$B$6*(1+IF($E$9=Wexmoor!$B$7,Wexmoor!$B$7,$E$9))^($A36-1)*(1+$B$9)-Wexmoor!$B$8*(1+IF($E$9=Wexmoor!$B$7,Wexmoor!$B$9,$E$9))^($A36-1))/Wexmoor!H55,"")</f>
        <v>1.03477648168624</v>
      </c>
      <c r="H36" s="15" t="n">
        <f aca="false">IF(Wexmoor!F55=1,(Wexmoor!$B$4*(1+$D$10)^($A36-1)*(1-$C$10)-Wexmoor!$B$6*(1+IF($E$10=Wexmoor!$B$7,Wexmoor!$B$7,$E$10))^($A36-1)*(1+$B$10)-Wexmoor!$B$8*(1+IF($E$10=Wexmoor!$B$7,Wexmoor!$B$9,$E$10))^($A36-1))/Wexmoor!H55,"")</f>
        <v>1.38958990080813</v>
      </c>
      <c r="I36" s="15" t="n">
        <f aca="false">IF(Wexmoor!F55=1,(Wexmoor!$B$4*(1+$D$11)^($A36-1)*(1-$C$11)-Wexmoor!$B$6*(1+IF($E$11=Wexmoor!$B$7,Wexmoor!$B$7,$E$11))^($A36-1)*(1+$B$11)-Wexmoor!$B$8*(1+IF($E$11=Wexmoor!$B$7,Wexmoor!$B$9,$E$11))^($A36-1))/Wexmoor!H55,"")</f>
        <v>0.992301133987945</v>
      </c>
    </row>
    <row r="37" customFormat="false" ht="15" hidden="false" customHeight="false" outlineLevel="0" collapsed="false">
      <c r="A37" s="0" t="n">
        <v>17</v>
      </c>
      <c r="B37" s="15" t="n">
        <f aca="false">IF(Wexmoor!F56=1,(Wexmoor!$B$4*(1+$D$4)^($A37-1)*(1-$C$4)-Wexmoor!$B$6*(1+IF($E$4=Wexmoor!$B$7,Wexmoor!$B$7,$E$4))^($A37-1)*(1+$B$4)-Wexmoor!$B$8*(1+IF($E$4=Wexmoor!$B$7,Wexmoor!$B$9,$E$4))^($A37-1))/Wexmoor!H56,"")</f>
        <v>1.2</v>
      </c>
      <c r="C37" s="15" t="n">
        <f aca="false">IF(Wexmoor!F56=1,(Wexmoor!$B$4*(1+$D$5)^($A37-1)*(1-$C$5)-Wexmoor!$B$6*(1+IF($E$5=Wexmoor!$B$7,Wexmoor!$B$7,$E$5))^($A37-1)*(1+$B$5)-Wexmoor!$B$8*(1+IF($E$5=Wexmoor!$B$7,Wexmoor!$B$9,$E$5))^($A37-1))/Wexmoor!H56,"")</f>
        <v>1.12755620942377</v>
      </c>
      <c r="D37" s="15" t="n">
        <f aca="false">IF(Wexmoor!F56=1,(Wexmoor!$B$4*(1+$D$6)^($A37-1)*(1-$C$6)-Wexmoor!$B$6*(1+IF($E$6=Wexmoor!$B$7,Wexmoor!$B$7,$E$6))^($A37-1)*(1+$B$6)-Wexmoor!$B$8*(1+IF($E$6=Wexmoor!$B$7,Wexmoor!$B$9,$E$6))^($A37-1))/Wexmoor!H56,"")</f>
        <v>1.14640650800292</v>
      </c>
      <c r="E37" s="15" t="n">
        <f aca="false">IF(Wexmoor!F56=1,(Wexmoor!$B$4*(1+$D$7)^($A37-1)*(1-$C$7)-Wexmoor!$B$6*(1+IF($E$7=Wexmoor!$B$7,Wexmoor!$B$7,$E$7))^($A37-1)*(1+$B$7)-Wexmoor!$B$8*(1+IF($E$7=Wexmoor!$B$7,Wexmoor!$B$9,$E$7))^($A37-1))/Wexmoor!H56,"")</f>
        <v>0.939464180096803</v>
      </c>
      <c r="F37" s="15" t="n">
        <f aca="false">IF(Wexmoor!F56=1,(Wexmoor!$B$4*(1+$D$8)^($A37-1)*(1-$C$8)-Wexmoor!$B$6*(1+IF($E$8=Wexmoor!$B$7,Wexmoor!$B$7,$E$8))^($A37-1)*(1+$B$8)-Wexmoor!$B$8*(1+IF($E$8=Wexmoor!$B$7,Wexmoor!$B$9,$E$8))^($A37-1))/Wexmoor!H56,"")</f>
        <v>0.714882096350642</v>
      </c>
      <c r="G37" s="15" t="n">
        <f aca="false">IF(Wexmoor!F56=1,(Wexmoor!$B$4*(1+$D$9)^($A37-1)*(1-$C$9)-Wexmoor!$B$6*(1+IF($E$9=Wexmoor!$B$7,Wexmoor!$B$7,$E$9))^($A37-1)*(1+$B$9)-Wexmoor!$B$8*(1+IF($E$9=Wexmoor!$B$7,Wexmoor!$B$9,$E$9))^($A37-1))/Wexmoor!H56,"")</f>
        <v>1.02460477341122</v>
      </c>
      <c r="H37" s="15" t="n">
        <f aca="false">IF(Wexmoor!F56=1,(Wexmoor!$B$4*(1+$D$10)^($A37-1)*(1-$C$10)-Wexmoor!$B$6*(1+IF($E$10=Wexmoor!$B$7,Wexmoor!$B$7,$E$10))^($A37-1)*(1+$B$10)-Wexmoor!$B$8*(1+IF($E$10=Wexmoor!$B$7,Wexmoor!$B$9,$E$10))^($A37-1))/Wexmoor!H56,"")</f>
        <v>1.40324930140111</v>
      </c>
      <c r="I37" s="15" t="n">
        <f aca="false">IF(Wexmoor!F56=1,(Wexmoor!$B$4*(1+$D$11)^($A37-1)*(1-$C$11)-Wexmoor!$B$6*(1+IF($E$11=Wexmoor!$B$7,Wexmoor!$B$7,$E$11))^($A37-1)*(1+$B$11)-Wexmoor!$B$8*(1+IF($E$11=Wexmoor!$B$7,Wexmoor!$B$9,$E$11))^($A37-1))/Wexmoor!H56,"")</f>
        <v>0.983598265138747</v>
      </c>
    </row>
    <row r="38" customFormat="false" ht="15" hidden="false" customHeight="false" outlineLevel="0" collapsed="false">
      <c r="A38" s="0" t="n">
        <v>18</v>
      </c>
      <c r="B38" s="15" t="n">
        <f aca="false">IF(Wexmoor!F57=1,(Wexmoor!$B$4*(1+$D$4)^($A38-1)*(1-$C$4)-Wexmoor!$B$6*(1+IF($E$4=Wexmoor!$B$7,Wexmoor!$B$7,$E$4))^($A38-1)*(1+$B$4)-Wexmoor!$B$8*(1+IF($E$4=Wexmoor!$B$7,Wexmoor!$B$9,$E$4))^($A38-1))/Wexmoor!H57,"")</f>
        <v>1.2</v>
      </c>
      <c r="C38" s="15" t="n">
        <f aca="false">IF(Wexmoor!F57=1,(Wexmoor!$B$4*(1+$D$5)^($A38-1)*(1-$C$5)-Wexmoor!$B$6*(1+IF($E$5=Wexmoor!$B$7,Wexmoor!$B$7,$E$5))^($A38-1)*(1+$B$5)-Wexmoor!$B$8*(1+IF($E$5=Wexmoor!$B$7,Wexmoor!$B$9,$E$5))^($A38-1))/Wexmoor!H57,"")</f>
        <v>1.12702627490455</v>
      </c>
      <c r="D38" s="15" t="n">
        <f aca="false">IF(Wexmoor!F57=1,(Wexmoor!$B$4*(1+$D$6)^($A38-1)*(1-$C$6)-Wexmoor!$B$6*(1+IF($E$6=Wexmoor!$B$7,Wexmoor!$B$7,$E$6))^($A38-1)*(1+$B$6)-Wexmoor!$B$8*(1+IF($E$6=Wexmoor!$B$7,Wexmoor!$B$9,$E$6))^($A38-1))/Wexmoor!H57,"")</f>
        <v>1.14627780961968</v>
      </c>
      <c r="E38" s="15" t="n">
        <f aca="false">IF(Wexmoor!F57=1,(Wexmoor!$B$4*(1+$D$7)^($A38-1)*(1-$C$7)-Wexmoor!$B$6*(1+IF($E$7=Wexmoor!$B$7,Wexmoor!$B$7,$E$7))^($A38-1)*(1+$B$7)-Wexmoor!$B$8*(1+IF($E$7=Wexmoor!$B$7,Wexmoor!$B$9,$E$7))^($A38-1))/Wexmoor!H57,"")</f>
        <v>0.923842669538063</v>
      </c>
      <c r="F38" s="15" t="n">
        <f aca="false">IF(Wexmoor!F57=1,(Wexmoor!$B$4*(1+$D$8)^($A38-1)*(1-$C$8)-Wexmoor!$B$6*(1+IF($E$8=Wexmoor!$B$7,Wexmoor!$B$7,$E$8))^($A38-1)*(1+$B$8)-Wexmoor!$B$8*(1+IF($E$8=Wexmoor!$B$7,Wexmoor!$B$9,$E$8))^($A38-1))/Wexmoor!H57,"")</f>
        <v>0.688139558763904</v>
      </c>
      <c r="G38" s="15" t="n">
        <f aca="false">IF(Wexmoor!F57=1,(Wexmoor!$B$4*(1+$D$9)^($A38-1)*(1-$C$9)-Wexmoor!$B$6*(1+IF($E$9=Wexmoor!$B$7,Wexmoor!$B$7,$E$9))^($A38-1)*(1+$B$9)-Wexmoor!$B$8*(1+IF($E$9=Wexmoor!$B$7,Wexmoor!$B$9,$E$9))^($A38-1))/Wexmoor!H57,"")</f>
        <v>1.01453267370435</v>
      </c>
      <c r="H38" s="15" t="n">
        <f aca="false">IF(Wexmoor!F57=1,(Wexmoor!$B$4*(1+$D$10)^($A38-1)*(1-$C$10)-Wexmoor!$B$6*(1+IF($E$10=Wexmoor!$B$7,Wexmoor!$B$7,$E$10))^($A38-1)*(1+$B$10)-Wexmoor!$B$8*(1+IF($E$10=Wexmoor!$B$7,Wexmoor!$B$9,$E$10))^($A38-1))/Wexmoor!H57,"")</f>
        <v>1.41704348268313</v>
      </c>
      <c r="I38" s="15" t="n">
        <f aca="false">IF(Wexmoor!F57=1,(Wexmoor!$B$4*(1+$D$11)^($A38-1)*(1-$C$11)-Wexmoor!$B$6*(1+IF($E$11=Wexmoor!$B$7,Wexmoor!$B$7,$E$11))^($A38-1)*(1+$B$11)-Wexmoor!$B$8*(1+IF($E$11=Wexmoor!$B$7,Wexmoor!$B$9,$E$11))^($A38-1))/Wexmoor!H57,"")</f>
        <v>0.974889180813451</v>
      </c>
    </row>
    <row r="39" customFormat="false" ht="15" hidden="false" customHeight="false" outlineLevel="0" collapsed="false">
      <c r="A39" s="0" t="n">
        <v>19</v>
      </c>
      <c r="B39" s="15" t="n">
        <f aca="false">IF(Wexmoor!F58=1,(Wexmoor!$B$4*(1+$D$4)^($A39-1)*(1-$C$4)-Wexmoor!$B$6*(1+IF($E$4=Wexmoor!$B$7,Wexmoor!$B$7,$E$4))^($A39-1)*(1+$B$4)-Wexmoor!$B$8*(1+IF($E$4=Wexmoor!$B$7,Wexmoor!$B$9,$E$4))^($A39-1))/Wexmoor!H58,"")</f>
        <v>1.2</v>
      </c>
      <c r="C39" s="15" t="n">
        <f aca="false">IF(Wexmoor!F58=1,(Wexmoor!$B$4*(1+$D$5)^($A39-1)*(1-$C$5)-Wexmoor!$B$6*(1+IF($E$5=Wexmoor!$B$7,Wexmoor!$B$7,$E$5))^($A39-1)*(1+$B$5)-Wexmoor!$B$8*(1+IF($E$5=Wexmoor!$B$7,Wexmoor!$B$9,$E$5))^($A39-1))/Wexmoor!H58,"")</f>
        <v>1.12649117257097</v>
      </c>
      <c r="D39" s="15" t="n">
        <f aca="false">IF(Wexmoor!F58=1,(Wexmoor!$B$4*(1+$D$6)^($A39-1)*(1-$C$6)-Wexmoor!$B$6*(1+IF($E$6=Wexmoor!$B$7,Wexmoor!$B$7,$E$6))^($A39-1)*(1+$B$6)-Wexmoor!$B$8*(1+IF($E$6=Wexmoor!$B$7,Wexmoor!$B$9,$E$6))^($A39-1))/Wexmoor!H58,"")</f>
        <v>1.14614785619581</v>
      </c>
      <c r="E39" s="15" t="n">
        <f aca="false">IF(Wexmoor!F58=1,(Wexmoor!$B$4*(1+$D$7)^($A39-1)*(1-$C$7)-Wexmoor!$B$6*(1+IF($E$7=Wexmoor!$B$7,Wexmoor!$B$7,$E$7))^($A39-1)*(1+$B$7)-Wexmoor!$B$8*(1+IF($E$7=Wexmoor!$B$7,Wexmoor!$B$9,$E$7))^($A39-1))/Wexmoor!H58,"")</f>
        <v>0.908289882042716</v>
      </c>
      <c r="F39" s="15" t="n">
        <f aca="false">IF(Wexmoor!F58=1,(Wexmoor!$B$4*(1+$D$8)^($A39-1)*(1-$C$8)-Wexmoor!$B$6*(1+IF($E$8=Wexmoor!$B$7,Wexmoor!$B$7,$E$8))^($A39-1)*(1+$B$8)-Wexmoor!$B$8*(1+IF($E$8=Wexmoor!$B$7,Wexmoor!$B$9,$E$8))^($A39-1))/Wexmoor!H58,"")</f>
        <v>0.661764651410325</v>
      </c>
      <c r="G39" s="15" t="n">
        <f aca="false">IF(Wexmoor!F58=1,(Wexmoor!$B$4*(1+$D$9)^($A39-1)*(1-$C$9)-Wexmoor!$B$6*(1+IF($E$9=Wexmoor!$B$7,Wexmoor!$B$7,$E$9))^($A39-1)*(1+$B$9)-Wexmoor!$B$8*(1+IF($E$9=Wexmoor!$B$7,Wexmoor!$B$9,$E$9))^($A39-1))/Wexmoor!H58,"")</f>
        <v>1.00455920538641</v>
      </c>
      <c r="H39" s="15" t="n">
        <f aca="false">IF(Wexmoor!F58=1,(Wexmoor!$B$4*(1+$D$10)^($A39-1)*(1-$C$10)-Wexmoor!$B$6*(1+IF($E$10=Wexmoor!$B$7,Wexmoor!$B$7,$E$10))^($A39-1)*(1+$B$10)-Wexmoor!$B$8*(1+IF($E$10=Wexmoor!$B$7,Wexmoor!$B$9,$E$10))^($A39-1))/Wexmoor!H58,"")</f>
        <v>1.43097378704983</v>
      </c>
      <c r="I39" s="15" t="n">
        <f aca="false">IF(Wexmoor!F58=1,(Wexmoor!$B$4*(1+$D$11)^($A39-1)*(1-$C$11)-Wexmoor!$B$6*(1+IF($E$11=Wexmoor!$B$7,Wexmoor!$B$7,$E$11))^($A39-1)*(1+$B$11)-Wexmoor!$B$8*(1+IF($E$11=Wexmoor!$B$7,Wexmoor!$B$9,$E$11))^($A39-1))/Wexmoor!H58,"")</f>
        <v>0.966173317693886</v>
      </c>
    </row>
    <row r="40" customFormat="false" ht="15" hidden="false" customHeight="false" outlineLevel="0" collapsed="false">
      <c r="A40" s="0" t="n">
        <v>20</v>
      </c>
      <c r="B40" s="15" t="n">
        <f aca="false">IF(Wexmoor!F59=1,(Wexmoor!$B$4*(1+$D$4)^($A40-1)*(1-$C$4)-Wexmoor!$B$6*(1+IF($E$4=Wexmoor!$B$7,Wexmoor!$B$7,$E$4))^($A40-1)*(1+$B$4)-Wexmoor!$B$8*(1+IF($E$4=Wexmoor!$B$7,Wexmoor!$B$9,$E$4))^($A40-1))/Wexmoor!H59,"")</f>
        <v>1.2</v>
      </c>
      <c r="C40" s="15" t="n">
        <f aca="false">IF(Wexmoor!F59=1,(Wexmoor!$B$4*(1+$D$5)^($A40-1)*(1-$C$5)-Wexmoor!$B$6*(1+IF($E$5=Wexmoor!$B$7,Wexmoor!$B$7,$E$5))^($A40-1)*(1+$B$5)-Wexmoor!$B$8*(1+IF($E$5=Wexmoor!$B$7,Wexmoor!$B$9,$E$5))^($A40-1))/Wexmoor!H59,"")</f>
        <v>1.12595083295139</v>
      </c>
      <c r="D40" s="15" t="n">
        <f aca="false">IF(Wexmoor!F59=1,(Wexmoor!$B$4*(1+$D$6)^($A40-1)*(1-$C$6)-Wexmoor!$B$6*(1+IF($E$6=Wexmoor!$B$7,Wexmoor!$B$7,$E$6))^($A40-1)*(1+$B$6)-Wexmoor!$B$8*(1+IF($E$6=Wexmoor!$B$7,Wexmoor!$B$9,$E$6))^($A40-1))/Wexmoor!H59,"")</f>
        <v>1.14601663085962</v>
      </c>
      <c r="E40" s="15" t="n">
        <f aca="false">IF(Wexmoor!F59=1,(Wexmoor!$B$4*(1+$D$7)^($A40-1)*(1-$C$7)-Wexmoor!$B$6*(1+IF($E$7=Wexmoor!$B$7,Wexmoor!$B$7,$E$7))^($A40-1)*(1+$B$7)-Wexmoor!$B$8*(1+IF($E$7=Wexmoor!$B$7,Wexmoor!$B$9,$E$7))^($A40-1))/Wexmoor!H59,"")</f>
        <v>0.892804299463857</v>
      </c>
      <c r="F40" s="15" t="n">
        <f aca="false">IF(Wexmoor!F59=1,(Wexmoor!$B$4*(1+$D$8)^($A40-1)*(1-$C$8)-Wexmoor!$B$6*(1+IF($E$8=Wexmoor!$B$7,Wexmoor!$B$7,$E$8))^($A40-1)*(1+$B$8)-Wexmoor!$B$8*(1+IF($E$8=Wexmoor!$B$7,Wexmoor!$B$9,$E$8))^($A40-1))/Wexmoor!H59,"")</f>
        <v>0.635749198453619</v>
      </c>
      <c r="G40" s="15" t="n">
        <f aca="false">IF(Wexmoor!F59=1,(Wexmoor!$B$4*(1+$D$9)^($A40-1)*(1-$C$9)-Wexmoor!$B$6*(1+IF($E$9=Wexmoor!$B$7,Wexmoor!$B$7,$E$9))^($A40-1)*(1+$B$9)-Wexmoor!$B$8*(1+IF($E$9=Wexmoor!$B$7,Wexmoor!$B$9,$E$9))^($A40-1))/Wexmoor!H59,"")</f>
        <v>0.994683400838338</v>
      </c>
      <c r="H40" s="15" t="n">
        <f aca="false">IF(Wexmoor!F59=1,(Wexmoor!$B$4*(1+$D$10)^($A40-1)*(1-$C$10)-Wexmoor!$B$6*(1+IF($E$10=Wexmoor!$B$7,Wexmoor!$B$7,$E$10))^($A40-1)*(1+$B$10)-Wexmoor!$B$8*(1+IF($E$10=Wexmoor!$B$7,Wexmoor!$B$9,$E$10))^($A40-1))/Wexmoor!H59,"")</f>
        <v>1.44504157059607</v>
      </c>
      <c r="I40" s="15" t="n">
        <f aca="false">IF(Wexmoor!F59=1,(Wexmoor!$B$4*(1+$D$11)^($A40-1)*(1-$C$11)-Wexmoor!$B$6*(1+IF($E$11=Wexmoor!$B$7,Wexmoor!$B$7,$E$11))^($A40-1)*(1+$B$11)-Wexmoor!$B$8*(1+IF($E$11=Wexmoor!$B$7,Wexmoor!$B$9,$E$11))^($A40-1))/Wexmoor!H59,"")</f>
        <v>0.957450105368552</v>
      </c>
    </row>
    <row r="41" customFormat="false" ht="15" hidden="false" customHeight="false" outlineLevel="0" collapsed="false">
      <c r="A41" s="0" t="n">
        <v>21</v>
      </c>
      <c r="B41" s="15" t="n">
        <f aca="false">IF(Wexmoor!F60=1,(Wexmoor!$B$4*(1+$D$4)^($A41-1)*(1-$C$4)-Wexmoor!$B$6*(1+IF($E$4=Wexmoor!$B$7,Wexmoor!$B$7,$E$4))^($A41-1)*(1+$B$4)-Wexmoor!$B$8*(1+IF($E$4=Wexmoor!$B$7,Wexmoor!$B$9,$E$4))^($A41-1))/Wexmoor!H60,"")</f>
        <v>1.2</v>
      </c>
      <c r="C41" s="15" t="n">
        <f aca="false">IF(Wexmoor!F60=1,(Wexmoor!$B$4*(1+$D$5)^($A41-1)*(1-$C$5)-Wexmoor!$B$6*(1+IF($E$5=Wexmoor!$B$7,Wexmoor!$B$7,$E$5))^($A41-1)*(1+$B$5)-Wexmoor!$B$8*(1+IF($E$5=Wexmoor!$B$7,Wexmoor!$B$9,$E$5))^($A41-1))/Wexmoor!H60,"")</f>
        <v>1.12540518533404</v>
      </c>
      <c r="D41" s="15" t="n">
        <f aca="false">IF(Wexmoor!F60=1,(Wexmoor!$B$4*(1+$D$6)^($A41-1)*(1-$C$6)-Wexmoor!$B$6*(1+IF($E$6=Wexmoor!$B$7,Wexmoor!$B$7,$E$6))^($A41-1)*(1+$B$6)-Wexmoor!$B$8*(1+IF($E$6=Wexmoor!$B$7,Wexmoor!$B$9,$E$6))^($A41-1))/Wexmoor!H60,"")</f>
        <v>1.14588411643827</v>
      </c>
      <c r="E41" s="15" t="n">
        <f aca="false">IF(Wexmoor!F60=1,(Wexmoor!$B$4*(1+$D$7)^($A41-1)*(1-$C$7)-Wexmoor!$B$6*(1+IF($E$7=Wexmoor!$B$7,Wexmoor!$B$7,$E$7))^($A41-1)*(1+$B$7)-Wexmoor!$B$8*(1+IF($E$7=Wexmoor!$B$7,Wexmoor!$B$9,$E$7))^($A41-1))/Wexmoor!H60,"")</f>
        <v>0.877384404195872</v>
      </c>
      <c r="F41" s="15" t="n">
        <f aca="false">IF(Wexmoor!F60=1,(Wexmoor!$B$4*(1+$D$8)^($A41-1)*(1-$C$8)-Wexmoor!$B$6*(1+IF($E$8=Wexmoor!$B$7,Wexmoor!$B$7,$E$8))^($A41-1)*(1+$B$8)-Wexmoor!$B$8*(1+IF($E$8=Wexmoor!$B$7,Wexmoor!$B$9,$E$8))^($A41-1))/Wexmoor!H60,"")</f>
        <v>0.610085158037562</v>
      </c>
      <c r="G41" s="15" t="n">
        <f aca="false">IF(Wexmoor!F60=1,(Wexmoor!$B$4*(1+$D$9)^($A41-1)*(1-$C$9)-Wexmoor!$B$6*(1+IF($E$9=Wexmoor!$B$7,Wexmoor!$B$7,$E$9))^($A41-1)*(1+$B$9)-Wexmoor!$B$8*(1+IF($E$9=Wexmoor!$B$7,Wexmoor!$B$9,$E$9))^($A41-1))/Wexmoor!H60,"")</f>
        <v>0.984904301907212</v>
      </c>
      <c r="H41" s="15" t="n">
        <f aca="false">IF(Wexmoor!F60=1,(Wexmoor!$B$4*(1+$D$10)^($A41-1)*(1-$C$10)-Wexmoor!$B$6*(1+IF($E$10=Wexmoor!$B$7,Wexmoor!$B$7,$E$10))^($A41-1)*(1+$B$10)-Wexmoor!$B$8*(1+IF($E$10=Wexmoor!$B$7,Wexmoor!$B$9,$E$10))^($A41-1))/Wexmoor!H60,"")</f>
        <v>1.45924820326521</v>
      </c>
      <c r="I41" s="15" t="n">
        <f aca="false">IF(Wexmoor!F60=1,(Wexmoor!$B$4*(1+$D$11)^($A41-1)*(1-$C$11)-Wexmoor!$B$6*(1+IF($E$11=Wexmoor!$B$7,Wexmoor!$B$7,$E$11))^($A41-1)*(1+$B$11)-Wexmoor!$B$8*(1+IF($E$11=Wexmoor!$B$7,Wexmoor!$B$9,$E$11))^($A41-1))/Wexmoor!H60,"")</f>
        <v>0.948718966157001</v>
      </c>
    </row>
    <row r="42" customFormat="false" ht="15" hidden="false" customHeight="false" outlineLevel="0" collapsed="false">
      <c r="A42" s="0" t="n">
        <v>22</v>
      </c>
      <c r="B42" s="15" t="n">
        <f aca="false">IF(Wexmoor!F61=1,(Wexmoor!$B$4*(1+$D$4)^($A42-1)*(1-$C$4)-Wexmoor!$B$6*(1+IF($E$4=Wexmoor!$B$7,Wexmoor!$B$7,$E$4))^($A42-1)*(1+$B$4)-Wexmoor!$B$8*(1+IF($E$4=Wexmoor!$B$7,Wexmoor!$B$9,$E$4))^($A42-1))/Wexmoor!H61,"")</f>
        <v>1.2</v>
      </c>
      <c r="C42" s="15" t="n">
        <f aca="false">IF(Wexmoor!F61=1,(Wexmoor!$B$4*(1+$D$5)^($A42-1)*(1-$C$5)-Wexmoor!$B$6*(1+IF($E$5=Wexmoor!$B$7,Wexmoor!$B$7,$E$5))^($A42-1)*(1+$B$5)-Wexmoor!$B$8*(1+IF($E$5=Wexmoor!$B$7,Wexmoor!$B$9,$E$5))^($A42-1))/Wexmoor!H61,"")</f>
        <v>1.1248541577392</v>
      </c>
      <c r="D42" s="15" t="n">
        <f aca="false">IF(Wexmoor!F61=1,(Wexmoor!$B$4*(1+$D$6)^($A42-1)*(1-$C$6)-Wexmoor!$B$6*(1+IF($E$6=Wexmoor!$B$7,Wexmoor!$B$7,$E$6))^($A42-1)*(1+$B$6)-Wexmoor!$B$8*(1+IF($E$6=Wexmoor!$B$7,Wexmoor!$B$9,$E$6))^($A42-1))/Wexmoor!H61,"")</f>
        <v>1.14575029545095</v>
      </c>
      <c r="E42" s="15" t="n">
        <f aca="false">IF(Wexmoor!F61=1,(Wexmoor!$B$4*(1+$D$7)^($A42-1)*(1-$C$7)-Wexmoor!$B$6*(1+IF($E$7=Wexmoor!$B$7,Wexmoor!$B$7,$E$7))^($A42-1)*(1+$B$7)-Wexmoor!$B$8*(1+IF($E$7=Wexmoor!$B$7,Wexmoor!$B$9,$E$7))^($A42-1))/Wexmoor!H61,"")</f>
        <v>0.862028678875753</v>
      </c>
      <c r="F42" s="15" t="n">
        <f aca="false">IF(Wexmoor!F61=1,(Wexmoor!$B$4*(1+$D$8)^($A42-1)*(1-$C$8)-Wexmoor!$B$6*(1+IF($E$8=Wexmoor!$B$7,Wexmoor!$B$7,$E$8))^($A42-1)*(1+$B$8)-Wexmoor!$B$8*(1+IF($E$8=Wexmoor!$B$7,Wexmoor!$B$9,$E$8))^($A42-1))/Wexmoor!H61,"")</f>
        <v>0.584764619315713</v>
      </c>
      <c r="G42" s="15" t="n">
        <f aca="false">IF(Wexmoor!F61=1,(Wexmoor!$B$4*(1+$D$9)^($A42-1)*(1-$C$9)-Wexmoor!$B$6*(1+IF($E$9=Wexmoor!$B$7,Wexmoor!$B$7,$E$9))^($A42-1)*(1+$B$9)-Wexmoor!$B$8*(1+IF($E$9=Wexmoor!$B$7,Wexmoor!$B$9,$E$9))^($A42-1))/Wexmoor!H61,"")</f>
        <v>0.975220959813141</v>
      </c>
      <c r="H42" s="15" t="n">
        <f aca="false">IF(Wexmoor!F61=1,(Wexmoor!$B$4*(1+$D$10)^($A42-1)*(1-$C$10)-Wexmoor!$B$6*(1+IF($E$10=Wexmoor!$B$7,Wexmoor!$B$7,$E$10))^($A42-1)*(1+$B$10)-Wexmoor!$B$8*(1+IF($E$10=Wexmoor!$B$7,Wexmoor!$B$9,$E$10))^($A42-1))/Wexmoor!H61,"")</f>
        <v>1.47359506900027</v>
      </c>
      <c r="I42" s="15" t="n">
        <f aca="false">IF(Wexmoor!F61=1,(Wexmoor!$B$4*(1+$D$11)^($A42-1)*(1-$C$11)-Wexmoor!$B$6*(1+IF($E$11=Wexmoor!$B$7,Wexmoor!$B$7,$E$11))^($A42-1)*(1+$B$11)-Wexmoor!$B$8*(1+IF($E$11=Wexmoor!$B$7,Wexmoor!$B$9,$E$11))^($A42-1))/Wexmoor!H61,"")</f>
        <v>0.939979314929594</v>
      </c>
    </row>
    <row r="43" customFormat="false" ht="15" hidden="false" customHeight="false" outlineLevel="0" collapsed="false">
      <c r="A43" s="0" t="n">
        <v>23</v>
      </c>
      <c r="B43" s="15" t="n">
        <f aca="false">IF(Wexmoor!F62=1,(Wexmoor!$B$4*(1+$D$4)^($A43-1)*(1-$C$4)-Wexmoor!$B$6*(1+IF($E$4=Wexmoor!$B$7,Wexmoor!$B$7,$E$4))^($A43-1)*(1+$B$4)-Wexmoor!$B$8*(1+IF($E$4=Wexmoor!$B$7,Wexmoor!$B$9,$E$4))^($A43-1))/Wexmoor!H62,"")</f>
        <v>1.2</v>
      </c>
      <c r="C43" s="15" t="n">
        <f aca="false">IF(Wexmoor!F62=1,(Wexmoor!$B$4*(1+$D$5)^($A43-1)*(1-$C$5)-Wexmoor!$B$6*(1+IF($E$5=Wexmoor!$B$7,Wexmoor!$B$7,$E$5))^($A43-1)*(1+$B$5)-Wexmoor!$B$8*(1+IF($E$5=Wexmoor!$B$7,Wexmoor!$B$9,$E$5))^($A43-1))/Wexmoor!H62,"")</f>
        <v>1.12429767689064</v>
      </c>
      <c r="D43" s="15" t="n">
        <f aca="false">IF(Wexmoor!F62=1,(Wexmoor!$B$4*(1+$D$6)^($A43-1)*(1-$C$6)-Wexmoor!$B$6*(1+IF($E$6=Wexmoor!$B$7,Wexmoor!$B$7,$E$6))^($A43-1)*(1+$B$6)-Wexmoor!$B$8*(1+IF($E$6=Wexmoor!$B$7,Wexmoor!$B$9,$E$6))^($A43-1))/Wexmoor!H62,"")</f>
        <v>1.14561515010201</v>
      </c>
      <c r="E43" s="15" t="n">
        <f aca="false">IF(Wexmoor!F62=1,(Wexmoor!$B$4*(1+$D$7)^($A43-1)*(1-$C$7)-Wexmoor!$B$6*(1+IF($E$7=Wexmoor!$B$7,Wexmoor!$B$7,$E$7))^($A43-1)*(1+$B$7)-Wexmoor!$B$8*(1+IF($E$7=Wexmoor!$B$7,Wexmoor!$B$9,$E$7))^($A43-1))/Wexmoor!H62,"")</f>
        <v>0.846735606079794</v>
      </c>
      <c r="F43" s="15" t="n">
        <f aca="false">IF(Wexmoor!F62=1,(Wexmoor!$B$4*(1+$D$8)^($A43-1)*(1-$C$8)-Wexmoor!$B$6*(1+IF($E$8=Wexmoor!$B$7,Wexmoor!$B$7,$E$8))^($A43-1)*(1+$B$8)-Wexmoor!$B$8*(1+IF($E$8=Wexmoor!$B$7,Wexmoor!$B$9,$E$8))^($A43-1))/Wexmoor!H62,"")</f>
        <v>0.559779799527877</v>
      </c>
      <c r="G43" s="15" t="n">
        <f aca="false">IF(Wexmoor!F62=1,(Wexmoor!$B$4*(1+$D$9)^($A43-1)*(1-$C$9)-Wexmoor!$B$6*(1+IF($E$9=Wexmoor!$B$7,Wexmoor!$B$7,$E$9))^($A43-1)*(1+$B$9)-Wexmoor!$B$8*(1+IF($E$9=Wexmoor!$B$7,Wexmoor!$B$9,$E$9))^($A43-1))/Wexmoor!H62,"")</f>
        <v>0.965632435057029</v>
      </c>
      <c r="H43" s="15" t="n">
        <f aca="false">IF(Wexmoor!F62=1,(Wexmoor!$B$4*(1+$D$10)^($A43-1)*(1-$C$10)-Wexmoor!$B$6*(1+IF($E$10=Wexmoor!$B$7,Wexmoor!$B$7,$E$10))^($A43-1)*(1+$B$10)-Wexmoor!$B$8*(1+IF($E$10=Wexmoor!$B$7,Wexmoor!$B$9,$E$10))^($A43-1))/Wexmoor!H62,"")</f>
        <v>1.48808356589719</v>
      </c>
      <c r="I43" s="15" t="n">
        <f aca="false">IF(Wexmoor!F62=1,(Wexmoor!$B$4*(1+$D$11)^($A43-1)*(1-$C$11)-Wexmoor!$B$6*(1+IF($E$11=Wexmoor!$B$7,Wexmoor!$B$7,$E$11))^($A43-1)*(1+$B$11)-Wexmoor!$B$8*(1+IF($E$11=Wexmoor!$B$7,Wexmoor!$B$9,$E$11))^($A43-1))/Wexmoor!H62,"")</f>
        <v>0.931230558922469</v>
      </c>
    </row>
    <row r="44" customFormat="false" ht="15" hidden="false" customHeight="false" outlineLevel="0" collapsed="false">
      <c r="A44" s="0" t="n">
        <v>24</v>
      </c>
      <c r="B44" s="15" t="str">
        <f aca="false">IF(Wexmoor!F63=1,(Wexmoor!$B$4*(1+$D$4)^($A44-1)*(1-$C$4)-Wexmoor!$B$6*(1+IF($E$4=Wexmoor!$B$7,Wexmoor!$B$7,$E$4))^($A44-1)*(1+$B$4)-Wexmoor!$B$8*(1+IF($E$4=Wexmoor!$B$7,Wexmoor!$B$9,$E$4))^($A44-1))/Wexmoor!H63,"")</f>
        <v/>
      </c>
      <c r="C44" s="15" t="str">
        <f aca="false">IF(Wexmoor!F63=1,(Wexmoor!$B$4*(1+$D$5)^($A44-1)*(1-$C$5)-Wexmoor!$B$6*(1+IF($E$5=Wexmoor!$B$7,Wexmoor!$B$7,$E$5))^($A44-1)*(1+$B$5)-Wexmoor!$B$8*(1+IF($E$5=Wexmoor!$B$7,Wexmoor!$B$9,$E$5))^($A44-1))/Wexmoor!H63,"")</f>
        <v/>
      </c>
      <c r="D44" s="15" t="str">
        <f aca="false">IF(Wexmoor!F63=1,(Wexmoor!$B$4*(1+$D$6)^($A44-1)*(1-$C$6)-Wexmoor!$B$6*(1+IF($E$6=Wexmoor!$B$7,Wexmoor!$B$7,$E$6))^($A44-1)*(1+$B$6)-Wexmoor!$B$8*(1+IF($E$6=Wexmoor!$B$7,Wexmoor!$B$9,$E$6))^($A44-1))/Wexmoor!H63,"")</f>
        <v/>
      </c>
      <c r="E44" s="15" t="str">
        <f aca="false">IF(Wexmoor!F63=1,(Wexmoor!$B$4*(1+$D$7)^($A44-1)*(1-$C$7)-Wexmoor!$B$6*(1+IF($E$7=Wexmoor!$B$7,Wexmoor!$B$7,$E$7))^($A44-1)*(1+$B$7)-Wexmoor!$B$8*(1+IF($E$7=Wexmoor!$B$7,Wexmoor!$B$9,$E$7))^($A44-1))/Wexmoor!H63,"")</f>
        <v/>
      </c>
      <c r="F44" s="15" t="str">
        <f aca="false">IF(Wexmoor!F63=1,(Wexmoor!$B$4*(1+$D$8)^($A44-1)*(1-$C$8)-Wexmoor!$B$6*(1+IF($E$8=Wexmoor!$B$7,Wexmoor!$B$7,$E$8))^($A44-1)*(1+$B$8)-Wexmoor!$B$8*(1+IF($E$8=Wexmoor!$B$7,Wexmoor!$B$9,$E$8))^($A44-1))/Wexmoor!H63,"")</f>
        <v/>
      </c>
      <c r="G44" s="15" t="str">
        <f aca="false">IF(Wexmoor!F63=1,(Wexmoor!$B$4*(1+$D$9)^($A44-1)*(1-$C$9)-Wexmoor!$B$6*(1+IF($E$9=Wexmoor!$B$7,Wexmoor!$B$7,$E$9))^($A44-1)*(1+$B$9)-Wexmoor!$B$8*(1+IF($E$9=Wexmoor!$B$7,Wexmoor!$B$9,$E$9))^($A44-1))/Wexmoor!H63,"")</f>
        <v/>
      </c>
      <c r="H44" s="15" t="str">
        <f aca="false">IF(Wexmoor!F63=1,(Wexmoor!$B$4*(1+$D$10)^($A44-1)*(1-$C$10)-Wexmoor!$B$6*(1+IF($E$10=Wexmoor!$B$7,Wexmoor!$B$7,$E$10))^($A44-1)*(1+$B$10)-Wexmoor!$B$8*(1+IF($E$10=Wexmoor!$B$7,Wexmoor!$B$9,$E$10))^($A44-1))/Wexmoor!H63,"")</f>
        <v/>
      </c>
      <c r="I44" s="15" t="str">
        <f aca="false">IF(Wexmoor!F63=1,(Wexmoor!$B$4*(1+$D$11)^($A44-1)*(1-$C$11)-Wexmoor!$B$6*(1+IF($E$11=Wexmoor!$B$7,Wexmoor!$B$7,$E$11))^($A44-1)*(1+$B$11)-Wexmoor!$B$8*(1+IF($E$11=Wexmoor!$B$7,Wexmoor!$B$9,$E$11))^($A44-1))/Wexmoor!H63,"")</f>
        <v/>
      </c>
    </row>
    <row r="45" customFormat="false" ht="15" hidden="false" customHeight="false" outlineLevel="0" collapsed="false">
      <c r="A45" s="0" t="n">
        <v>25</v>
      </c>
      <c r="B45" s="15" t="str">
        <f aca="false">IF(Wexmoor!F64=1,(Wexmoor!$B$4*(1+$D$4)^($A45-1)*(1-$C$4)-Wexmoor!$B$6*(1+IF($E$4=Wexmoor!$B$7,Wexmoor!$B$7,$E$4))^($A45-1)*(1+$B$4)-Wexmoor!$B$8*(1+IF($E$4=Wexmoor!$B$7,Wexmoor!$B$9,$E$4))^($A45-1))/Wexmoor!H64,"")</f>
        <v/>
      </c>
      <c r="C45" s="15" t="str">
        <f aca="false">IF(Wexmoor!F64=1,(Wexmoor!$B$4*(1+$D$5)^($A45-1)*(1-$C$5)-Wexmoor!$B$6*(1+IF($E$5=Wexmoor!$B$7,Wexmoor!$B$7,$E$5))^($A45-1)*(1+$B$5)-Wexmoor!$B$8*(1+IF($E$5=Wexmoor!$B$7,Wexmoor!$B$9,$E$5))^($A45-1))/Wexmoor!H64,"")</f>
        <v/>
      </c>
      <c r="D45" s="15" t="str">
        <f aca="false">IF(Wexmoor!F64=1,(Wexmoor!$B$4*(1+$D$6)^($A45-1)*(1-$C$6)-Wexmoor!$B$6*(1+IF($E$6=Wexmoor!$B$7,Wexmoor!$B$7,$E$6))^($A45-1)*(1+$B$6)-Wexmoor!$B$8*(1+IF($E$6=Wexmoor!$B$7,Wexmoor!$B$9,$E$6))^($A45-1))/Wexmoor!H64,"")</f>
        <v/>
      </c>
      <c r="E45" s="15" t="str">
        <f aca="false">IF(Wexmoor!F64=1,(Wexmoor!$B$4*(1+$D$7)^($A45-1)*(1-$C$7)-Wexmoor!$B$6*(1+IF($E$7=Wexmoor!$B$7,Wexmoor!$B$7,$E$7))^($A45-1)*(1+$B$7)-Wexmoor!$B$8*(1+IF($E$7=Wexmoor!$B$7,Wexmoor!$B$9,$E$7))^($A45-1))/Wexmoor!H64,"")</f>
        <v/>
      </c>
      <c r="F45" s="15" t="str">
        <f aca="false">IF(Wexmoor!F64=1,(Wexmoor!$B$4*(1+$D$8)^($A45-1)*(1-$C$8)-Wexmoor!$B$6*(1+IF($E$8=Wexmoor!$B$7,Wexmoor!$B$7,$E$8))^($A45-1)*(1+$B$8)-Wexmoor!$B$8*(1+IF($E$8=Wexmoor!$B$7,Wexmoor!$B$9,$E$8))^($A45-1))/Wexmoor!H64,"")</f>
        <v/>
      </c>
      <c r="G45" s="15" t="str">
        <f aca="false">IF(Wexmoor!F64=1,(Wexmoor!$B$4*(1+$D$9)^($A45-1)*(1-$C$9)-Wexmoor!$B$6*(1+IF($E$9=Wexmoor!$B$7,Wexmoor!$B$7,$E$9))^($A45-1)*(1+$B$9)-Wexmoor!$B$8*(1+IF($E$9=Wexmoor!$B$7,Wexmoor!$B$9,$E$9))^($A45-1))/Wexmoor!H64,"")</f>
        <v/>
      </c>
      <c r="H45" s="15" t="str">
        <f aca="false">IF(Wexmoor!F64=1,(Wexmoor!$B$4*(1+$D$10)^($A45-1)*(1-$C$10)-Wexmoor!$B$6*(1+IF($E$10=Wexmoor!$B$7,Wexmoor!$B$7,$E$10))^($A45-1)*(1+$B$10)-Wexmoor!$B$8*(1+IF($E$10=Wexmoor!$B$7,Wexmoor!$B$9,$E$10))^($A45-1))/Wexmoor!H64,"")</f>
        <v/>
      </c>
      <c r="I45" s="15" t="str">
        <f aca="false">IF(Wexmoor!F64=1,(Wexmoor!$B$4*(1+$D$11)^($A45-1)*(1-$C$11)-Wexmoor!$B$6*(1+IF($E$11=Wexmoor!$B$7,Wexmoor!$B$7,$E$11))^($A45-1)*(1+$B$11)-Wexmoor!$B$8*(1+IF($E$11=Wexmoor!$B$7,Wexmoor!$B$9,$E$11))^($A45-1))/Wexmoor!H64,"")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6.15" hidden="false" customHeight="false" outlineLevel="0" collapsed="false">
      <c r="A1" s="2" t="s">
        <v>113</v>
      </c>
    </row>
    <row r="2" customFormat="false" ht="15" hidden="false" customHeight="false" outlineLevel="0" collapsed="false">
      <c r="A2" s="3" t="s">
        <v>21</v>
      </c>
    </row>
    <row r="3" customFormat="false" ht="15" hidden="false" customHeight="false" outlineLevel="0" collapsed="false">
      <c r="A3" s="0" t="s">
        <v>114</v>
      </c>
      <c r="B3" s="19" t="n">
        <v>150</v>
      </c>
    </row>
    <row r="4" customFormat="false" ht="15" hidden="false" customHeight="false" outlineLevel="0" collapsed="false">
      <c r="A4" s="0" t="s">
        <v>115</v>
      </c>
      <c r="B4" s="5" t="n">
        <v>0.34</v>
      </c>
    </row>
    <row r="5" customFormat="false" ht="15" hidden="false" customHeight="false" outlineLevel="0" collapsed="false">
      <c r="A5" s="0" t="s">
        <v>116</v>
      </c>
      <c r="B5" s="5" t="n">
        <v>0.12</v>
      </c>
    </row>
    <row r="6" customFormat="false" ht="15" hidden="false" customHeight="false" outlineLevel="0" collapsed="false">
      <c r="A6" s="0" t="s">
        <v>117</v>
      </c>
      <c r="B6" s="5" t="n">
        <v>0.07</v>
      </c>
    </row>
    <row r="7" customFormat="false" ht="15" hidden="false" customHeight="false" outlineLevel="0" collapsed="false">
      <c r="A7" s="0" t="s">
        <v>118</v>
      </c>
      <c r="B7" s="20" t="n">
        <v>60</v>
      </c>
    </row>
    <row r="8" customFormat="false" ht="15" hidden="false" customHeight="false" outlineLevel="0" collapsed="false">
      <c r="A8" s="0" t="s">
        <v>119</v>
      </c>
      <c r="B8" s="6" t="n">
        <v>12</v>
      </c>
    </row>
    <row r="9" customFormat="false" ht="15" hidden="false" customHeight="false" outlineLevel="0" collapsed="false">
      <c r="A9" s="0" t="s">
        <v>120</v>
      </c>
      <c r="B9" s="20" t="n">
        <v>52</v>
      </c>
    </row>
    <row r="10" customFormat="false" ht="15" hidden="false" customHeight="false" outlineLevel="0" collapsed="false">
      <c r="A10" s="0" t="s">
        <v>121</v>
      </c>
      <c r="B10" s="5" t="n">
        <v>0.015</v>
      </c>
    </row>
    <row r="11" customFormat="false" ht="15" hidden="false" customHeight="false" outlineLevel="0" collapsed="false">
      <c r="A11" s="0" t="s">
        <v>122</v>
      </c>
      <c r="B11" s="5" t="n">
        <v>0.15</v>
      </c>
    </row>
    <row r="12" customFormat="false" ht="15" hidden="false" customHeight="false" outlineLevel="0" collapsed="false">
      <c r="A12" s="0" t="s">
        <v>25</v>
      </c>
      <c r="B12" s="4" t="n">
        <v>6</v>
      </c>
    </row>
    <row r="13" customFormat="false" ht="15" hidden="false" customHeight="false" outlineLevel="0" collapsed="false">
      <c r="A13" s="0" t="s">
        <v>26</v>
      </c>
      <c r="B13" s="5" t="n">
        <v>0.025</v>
      </c>
    </row>
    <row r="14" customFormat="false" ht="15" hidden="false" customHeight="false" outlineLevel="0" collapsed="false">
      <c r="A14" s="0" t="s">
        <v>123</v>
      </c>
      <c r="B14" s="4" t="n">
        <v>210</v>
      </c>
    </row>
    <row r="15" customFormat="false" ht="15" hidden="false" customHeight="false" outlineLevel="0" collapsed="false">
      <c r="A15" s="0" t="s">
        <v>124</v>
      </c>
      <c r="B15" s="5" t="n">
        <v>0.75</v>
      </c>
    </row>
    <row r="16" customFormat="false" ht="15" hidden="false" customHeight="false" outlineLevel="0" collapsed="false">
      <c r="A16" s="0" t="s">
        <v>30</v>
      </c>
      <c r="B16" s="5" t="n">
        <v>0.0575</v>
      </c>
    </row>
    <row r="17" customFormat="false" ht="15" hidden="false" customHeight="false" outlineLevel="0" collapsed="false">
      <c r="A17" s="0" t="s">
        <v>125</v>
      </c>
      <c r="B17" s="6" t="n">
        <v>18</v>
      </c>
    </row>
    <row r="18" customFormat="false" ht="15" hidden="false" customHeight="false" outlineLevel="0" collapsed="false">
      <c r="A18" s="0" t="s">
        <v>126</v>
      </c>
      <c r="B18" s="7" t="n">
        <v>1.35</v>
      </c>
    </row>
    <row r="19" customFormat="false" ht="15" hidden="false" customHeight="false" outlineLevel="0" collapsed="false">
      <c r="A19" s="0" t="s">
        <v>127</v>
      </c>
      <c r="B19" s="7" t="n">
        <v>1.8</v>
      </c>
    </row>
    <row r="20" customFormat="false" ht="15" hidden="false" customHeight="false" outlineLevel="0" collapsed="false">
      <c r="A20" s="0" t="s">
        <v>33</v>
      </c>
      <c r="B20" s="7" t="n">
        <v>1.15</v>
      </c>
    </row>
    <row r="22" customFormat="false" ht="15" hidden="false" customHeight="false" outlineLevel="0" collapsed="false">
      <c r="A22" s="3" t="s">
        <v>35</v>
      </c>
    </row>
    <row r="23" customFormat="false" ht="15" hidden="false" customHeight="false" outlineLevel="0" collapsed="false">
      <c r="A23" s="0" t="s">
        <v>128</v>
      </c>
      <c r="B23" s="5" t="n">
        <v>0</v>
      </c>
      <c r="C23" s="8" t="s">
        <v>129</v>
      </c>
    </row>
    <row r="24" customFormat="false" ht="15" hidden="false" customHeight="false" outlineLevel="0" collapsed="false">
      <c r="A24" s="0" t="s">
        <v>130</v>
      </c>
      <c r="B24" s="6" t="n">
        <v>0</v>
      </c>
      <c r="C24" s="8" t="s">
        <v>131</v>
      </c>
    </row>
    <row r="25" customFormat="false" ht="15" hidden="false" customHeight="false" outlineLevel="0" collapsed="false">
      <c r="A25" s="0" t="s">
        <v>132</v>
      </c>
      <c r="B25" s="20" t="n">
        <f aca="false">B30</f>
        <v>322.041698855222</v>
      </c>
      <c r="C25" s="8" t="s">
        <v>133</v>
      </c>
    </row>
    <row r="26" customFormat="false" ht="15" hidden="false" customHeight="false" outlineLevel="0" collapsed="false">
      <c r="A26" s="0" t="s">
        <v>134</v>
      </c>
      <c r="B26" s="5" t="n">
        <v>0</v>
      </c>
      <c r="C26" s="8" t="s">
        <v>135</v>
      </c>
    </row>
    <row r="27" customFormat="false" ht="15" hidden="false" customHeight="false" outlineLevel="0" collapsed="false">
      <c r="A27" s="3" t="s">
        <v>136</v>
      </c>
    </row>
    <row r="28" customFormat="false" ht="15" hidden="false" customHeight="false" outlineLevel="0" collapsed="false">
      <c r="A28" s="9" t="s">
        <v>137</v>
      </c>
      <c r="B28" s="13" t="n">
        <f aca="false">$B$3*8760*$B$4/1000</f>
        <v>446.76</v>
      </c>
    </row>
    <row r="29" customFormat="false" ht="15" hidden="false" customHeight="false" outlineLevel="0" collapsed="false">
      <c r="A29" s="9" t="s">
        <v>138</v>
      </c>
      <c r="B29" s="13" t="n">
        <f aca="false">$B$28*(1+NORMSINV(0.1)*$B$6)</f>
        <v>406.681781580411</v>
      </c>
    </row>
    <row r="30" customFormat="false" ht="15" hidden="false" customHeight="false" outlineLevel="0" collapsed="false">
      <c r="A30" s="9" t="s">
        <v>139</v>
      </c>
      <c r="B30" s="13" t="n">
        <f aca="false">$B$28*(1+NORMSINV(0.01)*$B$5)</f>
        <v>322.041698855222</v>
      </c>
    </row>
    <row r="31" customFormat="false" ht="15" hidden="false" customHeight="false" outlineLevel="0" collapsed="false">
      <c r="A31" s="9" t="s">
        <v>140</v>
      </c>
      <c r="B31" s="13" t="n">
        <f aca="false">$B$28*(1+NORMSINV(0.1)*$B$5)</f>
        <v>378.054482709275</v>
      </c>
    </row>
    <row r="33" customFormat="false" ht="15" hidden="false" customHeight="false" outlineLevel="0" collapsed="false">
      <c r="A33" s="3" t="s">
        <v>45</v>
      </c>
    </row>
    <row r="34" customFormat="false" ht="15" hidden="false" customHeight="false" outlineLevel="0" collapsed="false">
      <c r="A34" s="9" t="s">
        <v>47</v>
      </c>
      <c r="B34" s="10" t="n">
        <f aca="false">NPV($B$16,I60:I84)</f>
        <v>127.656601305672</v>
      </c>
    </row>
    <row r="35" customFormat="false" ht="15" hidden="false" customHeight="false" outlineLevel="0" collapsed="false">
      <c r="A35" s="9" t="s">
        <v>49</v>
      </c>
      <c r="B35" s="10" t="n">
        <f aca="false">$B$15*$B$14</f>
        <v>157.5</v>
      </c>
    </row>
    <row r="36" customFormat="false" ht="15" hidden="false" customHeight="false" outlineLevel="0" collapsed="false">
      <c r="A36" s="9" t="s">
        <v>51</v>
      </c>
      <c r="B36" s="10" t="n">
        <f aca="false">MIN($B$34,$B$35)</f>
        <v>127.656601305672</v>
      </c>
    </row>
    <row r="37" customFormat="false" ht="15" hidden="false" customHeight="false" outlineLevel="0" collapsed="false">
      <c r="A37" s="9" t="s">
        <v>141</v>
      </c>
      <c r="B37" s="12" t="n">
        <f aca="false">$B$36/$B$34</f>
        <v>1</v>
      </c>
    </row>
    <row r="38" customFormat="false" ht="15" hidden="false" customHeight="false" outlineLevel="0" collapsed="false">
      <c r="A38" s="9" t="s">
        <v>57</v>
      </c>
      <c r="B38" s="14" t="n">
        <f aca="false">$B$36/$B$14</f>
        <v>0.607888577646058</v>
      </c>
    </row>
    <row r="39" customFormat="false" ht="15" hidden="false" customHeight="false" outlineLevel="0" collapsed="false">
      <c r="A39" s="9" t="s">
        <v>142</v>
      </c>
      <c r="B39" s="10" t="n">
        <f aca="false">INDEX(P60:P84,$B$8)</f>
        <v>32.7557506247953</v>
      </c>
    </row>
    <row r="40" customFormat="false" ht="15" hidden="false" customHeight="false" outlineLevel="0" collapsed="false">
      <c r="A40" s="9" t="s">
        <v>59</v>
      </c>
      <c r="B40" s="10" t="n">
        <f aca="false">J60/2</f>
        <v>6.8151507017869</v>
      </c>
    </row>
    <row r="41" customFormat="false" ht="15" hidden="false" customHeight="false" outlineLevel="0" collapsed="false">
      <c r="A41" s="9" t="s">
        <v>143</v>
      </c>
      <c r="B41" s="0" t="str">
        <f aca="false">TEXT(NPV($B$16,Q60:Q84)/$B$36,"0.000")&amp;"x / "&amp;TEXT(NPV($B$16,R60:R84)/$B$36,"0.000")&amp;"x"</f>
        <v>1.373x / 1.569x</v>
      </c>
    </row>
    <row r="42" customFormat="false" ht="15" hidden="false" customHeight="false" outlineLevel="0" collapsed="false">
      <c r="A42" s="9" t="s">
        <v>62</v>
      </c>
      <c r="B42" s="13" t="n">
        <f aca="false">SUMPRODUCT(A60:A84,L60:L84)/SUM(L60:L84)</f>
        <v>9.21380972939621</v>
      </c>
    </row>
    <row r="43" customFormat="false" ht="15" hidden="false" customHeight="false" outlineLevel="0" collapsed="false">
      <c r="A43" s="9" t="s">
        <v>144</v>
      </c>
      <c r="B43" s="15" t="n">
        <f aca="false">MIN(U60:U84)</f>
        <v>1.52642259213321</v>
      </c>
    </row>
    <row r="44" customFormat="false" ht="15" hidden="false" customHeight="false" outlineLevel="0" collapsed="false">
      <c r="A44" s="9" t="s">
        <v>145</v>
      </c>
      <c r="B44" s="15" t="n">
        <f aca="false">MIN(W60:W84)</f>
        <v>1.8</v>
      </c>
    </row>
    <row r="45" customFormat="false" ht="15" hidden="false" customHeight="false" outlineLevel="0" collapsed="false">
      <c r="A45" s="9" t="s">
        <v>146</v>
      </c>
      <c r="B45" s="15" t="n">
        <f aca="false">MIN(X60:X84)</f>
        <v>1.51712115179058</v>
      </c>
    </row>
    <row r="46" customFormat="false" ht="15" hidden="false" customHeight="false" outlineLevel="0" collapsed="false">
      <c r="A46" s="9" t="s">
        <v>147</v>
      </c>
      <c r="B46" s="15" t="str">
        <f aca="false">IF($B$24&gt;0,INDEX(U60:U84,$B$24),"n/a")</f>
        <v>n/a</v>
      </c>
    </row>
    <row r="47" customFormat="false" ht="15" hidden="false" customHeight="false" outlineLevel="0" collapsed="false">
      <c r="A47" s="9" t="s">
        <v>148</v>
      </c>
      <c r="B47" s="10" t="n">
        <f aca="false">IF($B$24&gt;0,MAX(0,INDEX(J60:J84,$B$24)-INDEX(T60:T84,$B$24)),0)</f>
        <v>0</v>
      </c>
    </row>
    <row r="48" customFormat="false" ht="15" hidden="false" customHeight="false" outlineLevel="0" collapsed="false">
      <c r="A48" s="9" t="s">
        <v>149</v>
      </c>
      <c r="B48" s="12" t="n">
        <f aca="false">MAX(Y60:Y84)</f>
        <v>-0.253701851958077</v>
      </c>
    </row>
    <row r="49" customFormat="false" ht="15" hidden="false" customHeight="false" outlineLevel="0" collapsed="false">
      <c r="A49" s="9" t="s">
        <v>150</v>
      </c>
      <c r="B49" s="13" t="n">
        <f aca="false">$B$9*(1-$B$11)*(1+$B$48)</f>
        <v>32.986378143453</v>
      </c>
    </row>
    <row r="50" customFormat="false" ht="15" hidden="false" customHeight="false" outlineLevel="0" collapsed="false">
      <c r="A50" s="9" t="s">
        <v>151</v>
      </c>
      <c r="B50" s="14" t="n">
        <f aca="false">1-B49/$B$9</f>
        <v>0.365646574164366</v>
      </c>
    </row>
    <row r="51" customFormat="false" ht="15" hidden="false" customHeight="false" outlineLevel="0" collapsed="false">
      <c r="A51" s="9" t="s">
        <v>152</v>
      </c>
      <c r="B51" s="12" t="n">
        <f aca="false">MAX(Z60:Z84)</f>
        <v>-0.180154667062987</v>
      </c>
    </row>
    <row r="52" customFormat="false" ht="15" hidden="false" customHeight="false" outlineLevel="0" collapsed="false">
      <c r="A52" s="9" t="s">
        <v>150</v>
      </c>
      <c r="B52" s="13" t="n">
        <f aca="false">$B$9*(1-$B$11)*(1+$B$51)</f>
        <v>36.237163715816</v>
      </c>
    </row>
    <row r="53" customFormat="false" ht="15" hidden="false" customHeight="false" outlineLevel="0" collapsed="false">
      <c r="A53" s="9" t="s">
        <v>153</v>
      </c>
      <c r="B53" s="15" t="n">
        <f aca="false">MIN(AA60:AA84)</f>
        <v>1.52642259213321</v>
      </c>
    </row>
    <row r="54" customFormat="false" ht="15" hidden="false" customHeight="false" outlineLevel="0" collapsed="false">
      <c r="A54" s="9" t="s">
        <v>154</v>
      </c>
      <c r="B54" s="15" t="n">
        <f aca="false">MIN(AB60:AB84)</f>
        <v>1.35</v>
      </c>
    </row>
    <row r="59" customFormat="false" ht="68.65" hidden="false" customHeight="false" outlineLevel="0" collapsed="false">
      <c r="A59" s="16" t="s">
        <v>65</v>
      </c>
      <c r="B59" s="16" t="s">
        <v>155</v>
      </c>
      <c r="C59" s="16" t="s">
        <v>156</v>
      </c>
      <c r="D59" s="16" t="s">
        <v>157</v>
      </c>
      <c r="E59" s="16" t="s">
        <v>158</v>
      </c>
      <c r="F59" s="16" t="s">
        <v>159</v>
      </c>
      <c r="G59" s="16" t="s">
        <v>70</v>
      </c>
      <c r="H59" s="16" t="s">
        <v>160</v>
      </c>
      <c r="I59" s="16" t="s">
        <v>71</v>
      </c>
      <c r="J59" s="16" t="s">
        <v>72</v>
      </c>
      <c r="K59" s="16" t="s">
        <v>73</v>
      </c>
      <c r="L59" s="16" t="s">
        <v>74</v>
      </c>
      <c r="M59" s="16" t="s">
        <v>161</v>
      </c>
      <c r="N59" s="16" t="s">
        <v>162</v>
      </c>
      <c r="O59" s="16" t="s">
        <v>79</v>
      </c>
      <c r="P59" s="16" t="s">
        <v>82</v>
      </c>
      <c r="Q59" s="16" t="s">
        <v>163</v>
      </c>
      <c r="R59" s="16" t="s">
        <v>164</v>
      </c>
      <c r="S59" s="16" t="s">
        <v>165</v>
      </c>
      <c r="T59" s="16" t="s">
        <v>166</v>
      </c>
      <c r="U59" s="16" t="s">
        <v>167</v>
      </c>
      <c r="V59" s="16" t="s">
        <v>168</v>
      </c>
      <c r="W59" s="16" t="s">
        <v>169</v>
      </c>
      <c r="X59" s="16" t="s">
        <v>170</v>
      </c>
      <c r="Y59" s="16" t="s">
        <v>171</v>
      </c>
      <c r="Z59" s="16" t="s">
        <v>172</v>
      </c>
      <c r="AA59" s="16" t="s">
        <v>173</v>
      </c>
      <c r="AB59" s="16" t="s">
        <v>174</v>
      </c>
    </row>
    <row r="60" customFormat="false" ht="15" hidden="false" customHeight="false" outlineLevel="0" collapsed="false">
      <c r="A60" s="0" t="n">
        <v>1</v>
      </c>
      <c r="B60" s="0" t="n">
        <f aca="false">IF(A60&lt;=$B$8,1,0)</f>
        <v>1</v>
      </c>
      <c r="C60" s="10" t="n">
        <f aca="false">IF(B60=1,$B$7,$B$9*(1+$B$10)^(A60-$B$8-1)*(1-$B$11))</f>
        <v>60</v>
      </c>
      <c r="D60" s="10" t="n">
        <f aca="false">$B$12*(1+$B$13)^(A60-1)</f>
        <v>6</v>
      </c>
      <c r="E60" s="10" t="n">
        <f aca="false">$B$28*C60/1000-D60</f>
        <v>20.8056</v>
      </c>
      <c r="F60" s="10" t="n">
        <f aca="false">$B$29*C60/1000-D60</f>
        <v>18.4009068948246</v>
      </c>
      <c r="G60" s="10" t="n">
        <f aca="false">IF(A60&lt;=$B$17,1,0)</f>
        <v>1</v>
      </c>
      <c r="H60" s="10" t="n">
        <f aca="false">IF(B60=1,F60/$B$18,E60/$B$19)</f>
        <v>13.6303014035738</v>
      </c>
      <c r="I60" s="10" t="n">
        <f aca="false">G60*H60</f>
        <v>13.6303014035738</v>
      </c>
      <c r="J60" s="10" t="n">
        <f aca="false">I60*$B$37</f>
        <v>13.6303014035738</v>
      </c>
      <c r="K60" s="10" t="n">
        <f aca="false">O60*$B$16*G60</f>
        <v>7.34025457507616</v>
      </c>
      <c r="L60" s="10" t="n">
        <f aca="false">J60-K60</f>
        <v>6.29004682849765</v>
      </c>
      <c r="M60" s="15" t="n">
        <f aca="false">IF(G60=1,E60/J60,"")</f>
        <v>1.52642259213321</v>
      </c>
      <c r="N60" s="15" t="n">
        <f aca="false">IF(G60=1,F60/J60,"")</f>
        <v>1.35</v>
      </c>
      <c r="O60" s="10" t="n">
        <f aca="false">$B$36</f>
        <v>127.656601305672</v>
      </c>
      <c r="P60" s="10" t="n">
        <f aca="false">O60-L60</f>
        <v>121.366554477175</v>
      </c>
      <c r="Q60" s="10" t="n">
        <f aca="false">F60*G60</f>
        <v>18.4009068948246</v>
      </c>
      <c r="R60" s="10" t="n">
        <f aca="false">E60*G60</f>
        <v>20.8056</v>
      </c>
      <c r="S60" s="10" t="n">
        <f aca="false">IF(A60=$B$24,$B$25,$B$28*(1-$B$26))</f>
        <v>446.76</v>
      </c>
      <c r="T60" s="10" t="n">
        <f aca="false">S60*IF(B60=1,C60,C60*(1+$B$23))/1000-D60</f>
        <v>20.8056</v>
      </c>
      <c r="U60" s="15" t="n">
        <f aca="false">IF(G60=1,T60/J60,"")</f>
        <v>1.52642259213321</v>
      </c>
      <c r="V60" s="15" t="n">
        <f aca="false">IF(G60=1,($B$29*(1-$B$26)*IF(B60=1,C60,C60*(1+$B$23))/1000-D60)/J60,"")</f>
        <v>1.35</v>
      </c>
      <c r="W60" s="15" t="n">
        <f aca="false">IF(AND(B60=0,G60=1),U60,99)</f>
        <v>99</v>
      </c>
      <c r="X60" s="15" t="n">
        <f aca="false">IF(AND(B60=0,G60=1),V60,99)</f>
        <v>99</v>
      </c>
      <c r="Y60" s="12" t="n">
        <f aca="false">IF(AND(B60=0,G60=1),(J60+D60)/($B$28*C60/1000)-1,-9)</f>
        <v>-9</v>
      </c>
      <c r="Z60" s="12" t="n">
        <f aca="false">IF(AND(B60=0,G60=1),(J60+D60)/($B$29*C60/1000)-1,-9)</f>
        <v>-9</v>
      </c>
      <c r="AA60" s="15" t="n">
        <f aca="false">IF(AND(B60=1,G60=1),U60,99)</f>
        <v>1.52642259213321</v>
      </c>
      <c r="AB60" s="15" t="n">
        <f aca="false">IF(AND(B60=1,G60=1),V60,99)</f>
        <v>1.35</v>
      </c>
    </row>
    <row r="61" customFormat="false" ht="15" hidden="false" customHeight="false" outlineLevel="0" collapsed="false">
      <c r="A61" s="0" t="n">
        <v>2</v>
      </c>
      <c r="B61" s="0" t="n">
        <f aca="false">IF(A61&lt;=$B$8,1,0)</f>
        <v>1</v>
      </c>
      <c r="C61" s="10" t="n">
        <f aca="false">IF(B61=1,$B$7,$B$9*(1+$B$10)^(A61-$B$8-1)*(1-$B$11))</f>
        <v>60</v>
      </c>
      <c r="D61" s="10" t="n">
        <f aca="false">$B$12*(1+$B$13)^(A61-1)</f>
        <v>6.15</v>
      </c>
      <c r="E61" s="10" t="n">
        <f aca="false">$B$28*C61/1000-D61</f>
        <v>20.6556</v>
      </c>
      <c r="F61" s="10" t="n">
        <f aca="false">$B$29*C61/1000-D61</f>
        <v>18.2509068948246</v>
      </c>
      <c r="G61" s="10" t="n">
        <f aca="false">IF(A61&lt;=$B$17,1,0)</f>
        <v>1</v>
      </c>
      <c r="H61" s="10" t="n">
        <f aca="false">IF(B61=1,F61/$B$18,E61/$B$19)</f>
        <v>13.5191902924627</v>
      </c>
      <c r="I61" s="10" t="n">
        <f aca="false">G61*H61</f>
        <v>13.5191902924627</v>
      </c>
      <c r="J61" s="10" t="n">
        <f aca="false">I61*$B$37</f>
        <v>13.5191902924627</v>
      </c>
      <c r="K61" s="10" t="n">
        <f aca="false">O61*$B$16*G61</f>
        <v>6.97857688243754</v>
      </c>
      <c r="L61" s="10" t="n">
        <f aca="false">J61-K61</f>
        <v>6.54061341002515</v>
      </c>
      <c r="M61" s="15" t="n">
        <f aca="false">IF(G61=1,E61/J61,"")</f>
        <v>1.52787256878217</v>
      </c>
      <c r="N61" s="15" t="n">
        <f aca="false">IF(G61=1,F61/J61,"")</f>
        <v>1.35</v>
      </c>
      <c r="O61" s="10" t="n">
        <f aca="false">P60</f>
        <v>121.366554477175</v>
      </c>
      <c r="P61" s="10" t="n">
        <f aca="false">O61-L61</f>
        <v>114.825941067149</v>
      </c>
      <c r="Q61" s="10" t="n">
        <f aca="false">F61*G61</f>
        <v>18.2509068948246</v>
      </c>
      <c r="R61" s="10" t="n">
        <f aca="false">E61*G61</f>
        <v>20.6556</v>
      </c>
      <c r="S61" s="10" t="n">
        <f aca="false">IF(A61=$B$24,$B$25,$B$28*(1-$B$26))</f>
        <v>446.76</v>
      </c>
      <c r="T61" s="10" t="n">
        <f aca="false">S61*IF(B61=1,C61,C61*(1+$B$23))/1000-D61</f>
        <v>20.6556</v>
      </c>
      <c r="U61" s="15" t="n">
        <f aca="false">IF(G61=1,T61/J61,"")</f>
        <v>1.52787256878217</v>
      </c>
      <c r="V61" s="15" t="n">
        <f aca="false">IF(G61=1,($B$29*(1-$B$26)*IF(B61=1,C61,C61*(1+$B$23))/1000-D61)/J61,"")</f>
        <v>1.35</v>
      </c>
      <c r="W61" s="15" t="n">
        <f aca="false">IF(AND(B61=0,G61=1),U61,99)</f>
        <v>99</v>
      </c>
      <c r="X61" s="15" t="n">
        <f aca="false">IF(AND(B61=0,G61=1),V61,99)</f>
        <v>99</v>
      </c>
      <c r="Y61" s="12" t="n">
        <f aca="false">IF(AND(B61=0,G61=1),(J61+D61)/($B$28*C61/1000)-1,-9)</f>
        <v>-9</v>
      </c>
      <c r="Z61" s="12" t="n">
        <f aca="false">IF(AND(B61=0,G61=1),(J61+D61)/($B$29*C61/1000)-1,-9)</f>
        <v>-9</v>
      </c>
      <c r="AA61" s="15" t="n">
        <f aca="false">IF(AND(B61=1,G61=1),U61,99)</f>
        <v>1.52787256878217</v>
      </c>
      <c r="AB61" s="15" t="n">
        <f aca="false">IF(AND(B61=1,G61=1),V61,99)</f>
        <v>1.35</v>
      </c>
    </row>
    <row r="62" customFormat="false" ht="15" hidden="false" customHeight="false" outlineLevel="0" collapsed="false">
      <c r="A62" s="0" t="n">
        <v>3</v>
      </c>
      <c r="B62" s="0" t="n">
        <f aca="false">IF(A62&lt;=$B$8,1,0)</f>
        <v>1</v>
      </c>
      <c r="C62" s="10" t="n">
        <f aca="false">IF(B62=1,$B$7,$B$9*(1+$B$10)^(A62-$B$8-1)*(1-$B$11))</f>
        <v>60</v>
      </c>
      <c r="D62" s="10" t="n">
        <f aca="false">$B$12*(1+$B$13)^(A62-1)</f>
        <v>6.30375</v>
      </c>
      <c r="E62" s="10" t="n">
        <f aca="false">$B$28*C62/1000-D62</f>
        <v>20.50185</v>
      </c>
      <c r="F62" s="10" t="n">
        <f aca="false">$B$29*C62/1000-D62</f>
        <v>18.0971568948246</v>
      </c>
      <c r="G62" s="10" t="n">
        <f aca="false">IF(A62&lt;=$B$17,1,0)</f>
        <v>1</v>
      </c>
      <c r="H62" s="10" t="n">
        <f aca="false">IF(B62=1,F62/$B$18,E62/$B$19)</f>
        <v>13.4053014035738</v>
      </c>
      <c r="I62" s="10" t="n">
        <f aca="false">G62*H62</f>
        <v>13.4053014035738</v>
      </c>
      <c r="J62" s="10" t="n">
        <f aca="false">I62*$B$37</f>
        <v>13.4053014035738</v>
      </c>
      <c r="K62" s="10" t="n">
        <f aca="false">O62*$B$16*G62</f>
        <v>6.60249161136109</v>
      </c>
      <c r="L62" s="10" t="n">
        <f aca="false">J62-K62</f>
        <v>6.80280979221271</v>
      </c>
      <c r="M62" s="15" t="n">
        <f aca="false">IF(G62=1,E62/J62,"")</f>
        <v>1.52938374026669</v>
      </c>
      <c r="N62" s="15" t="n">
        <f aca="false">IF(G62=1,F62/J62,"")</f>
        <v>1.35</v>
      </c>
      <c r="O62" s="10" t="n">
        <f aca="false">P61</f>
        <v>114.825941067149</v>
      </c>
      <c r="P62" s="10" t="n">
        <f aca="false">O62-L62</f>
        <v>108.023131274937</v>
      </c>
      <c r="Q62" s="10" t="n">
        <f aca="false">F62*G62</f>
        <v>18.0971568948246</v>
      </c>
      <c r="R62" s="10" t="n">
        <f aca="false">E62*G62</f>
        <v>20.50185</v>
      </c>
      <c r="S62" s="10" t="n">
        <f aca="false">IF(A62=$B$24,$B$25,$B$28*(1-$B$26))</f>
        <v>446.76</v>
      </c>
      <c r="T62" s="10" t="n">
        <f aca="false">S62*IF(B62=1,C62,C62*(1+$B$23))/1000-D62</f>
        <v>20.50185</v>
      </c>
      <c r="U62" s="15" t="n">
        <f aca="false">IF(G62=1,T62/J62,"")</f>
        <v>1.52938374026669</v>
      </c>
      <c r="V62" s="15" t="n">
        <f aca="false">IF(G62=1,($B$29*(1-$B$26)*IF(B62=1,C62,C62*(1+$B$23))/1000-D62)/J62,"")</f>
        <v>1.35</v>
      </c>
      <c r="W62" s="15" t="n">
        <f aca="false">IF(AND(B62=0,G62=1),U62,99)</f>
        <v>99</v>
      </c>
      <c r="X62" s="15" t="n">
        <f aca="false">IF(AND(B62=0,G62=1),V62,99)</f>
        <v>99</v>
      </c>
      <c r="Y62" s="12" t="n">
        <f aca="false">IF(AND(B62=0,G62=1),(J62+D62)/($B$28*C62/1000)-1,-9)</f>
        <v>-9</v>
      </c>
      <c r="Z62" s="12" t="n">
        <f aca="false">IF(AND(B62=0,G62=1),(J62+D62)/($B$29*C62/1000)-1,-9)</f>
        <v>-9</v>
      </c>
      <c r="AA62" s="15" t="n">
        <f aca="false">IF(AND(B62=1,G62=1),U62,99)</f>
        <v>1.52938374026669</v>
      </c>
      <c r="AB62" s="15" t="n">
        <f aca="false">IF(AND(B62=1,G62=1),V62,99)</f>
        <v>1.35</v>
      </c>
    </row>
    <row r="63" customFormat="false" ht="15" hidden="false" customHeight="false" outlineLevel="0" collapsed="false">
      <c r="A63" s="0" t="n">
        <v>4</v>
      </c>
      <c r="B63" s="0" t="n">
        <f aca="false">IF(A63&lt;=$B$8,1,0)</f>
        <v>1</v>
      </c>
      <c r="C63" s="10" t="n">
        <f aca="false">IF(B63=1,$B$7,$B$9*(1+$B$10)^(A63-$B$8-1)*(1-$B$11))</f>
        <v>60</v>
      </c>
      <c r="D63" s="10" t="n">
        <f aca="false">$B$12*(1+$B$13)^(A63-1)</f>
        <v>6.46134375</v>
      </c>
      <c r="E63" s="10" t="n">
        <f aca="false">$B$28*C63/1000-D63</f>
        <v>20.34425625</v>
      </c>
      <c r="F63" s="10" t="n">
        <f aca="false">$B$29*C63/1000-D63</f>
        <v>17.9395631448246</v>
      </c>
      <c r="G63" s="10" t="n">
        <f aca="false">IF(A63&lt;=$B$17,1,0)</f>
        <v>1</v>
      </c>
      <c r="H63" s="10" t="n">
        <f aca="false">IF(B63=1,F63/$B$18,E63/$B$19)</f>
        <v>13.2885652924627</v>
      </c>
      <c r="I63" s="10" t="n">
        <f aca="false">G63*H63</f>
        <v>13.2885652924627</v>
      </c>
      <c r="J63" s="10" t="n">
        <f aca="false">I63*$B$37</f>
        <v>13.2885652924627</v>
      </c>
      <c r="K63" s="10" t="n">
        <f aca="false">O63*$B$16*G63</f>
        <v>6.21133004830886</v>
      </c>
      <c r="L63" s="10" t="n">
        <f aca="false">J63-K63</f>
        <v>7.07723524415383</v>
      </c>
      <c r="M63" s="15" t="n">
        <f aca="false">IF(G63=1,E63/J63,"")</f>
        <v>1.53095957330618</v>
      </c>
      <c r="N63" s="15" t="n">
        <f aca="false">IF(G63=1,F63/J63,"")</f>
        <v>1.35</v>
      </c>
      <c r="O63" s="10" t="n">
        <f aca="false">P62</f>
        <v>108.023131274937</v>
      </c>
      <c r="P63" s="10" t="n">
        <f aca="false">O63-L63</f>
        <v>100.945896030783</v>
      </c>
      <c r="Q63" s="10" t="n">
        <f aca="false">F63*G63</f>
        <v>17.9395631448246</v>
      </c>
      <c r="R63" s="10" t="n">
        <f aca="false">E63*G63</f>
        <v>20.34425625</v>
      </c>
      <c r="S63" s="10" t="n">
        <f aca="false">IF(A63=$B$24,$B$25,$B$28*(1-$B$26))</f>
        <v>446.76</v>
      </c>
      <c r="T63" s="10" t="n">
        <f aca="false">S63*IF(B63=1,C63,C63*(1+$B$23))/1000-D63</f>
        <v>20.34425625</v>
      </c>
      <c r="U63" s="15" t="n">
        <f aca="false">IF(G63=1,T63/J63,"")</f>
        <v>1.53095957330618</v>
      </c>
      <c r="V63" s="15" t="n">
        <f aca="false">IF(G63=1,($B$29*(1-$B$26)*IF(B63=1,C63,C63*(1+$B$23))/1000-D63)/J63,"")</f>
        <v>1.35</v>
      </c>
      <c r="W63" s="15" t="n">
        <f aca="false">IF(AND(B63=0,G63=1),U63,99)</f>
        <v>99</v>
      </c>
      <c r="X63" s="15" t="n">
        <f aca="false">IF(AND(B63=0,G63=1),V63,99)</f>
        <v>99</v>
      </c>
      <c r="Y63" s="12" t="n">
        <f aca="false">IF(AND(B63=0,G63=1),(J63+D63)/($B$28*C63/1000)-1,-9)</f>
        <v>-9</v>
      </c>
      <c r="Z63" s="12" t="n">
        <f aca="false">IF(AND(B63=0,G63=1),(J63+D63)/($B$29*C63/1000)-1,-9)</f>
        <v>-9</v>
      </c>
      <c r="AA63" s="15" t="n">
        <f aca="false">IF(AND(B63=1,G63=1),U63,99)</f>
        <v>1.53095957330618</v>
      </c>
      <c r="AB63" s="15" t="n">
        <f aca="false">IF(AND(B63=1,G63=1),V63,99)</f>
        <v>1.35</v>
      </c>
    </row>
    <row r="64" customFormat="false" ht="15" hidden="false" customHeight="false" outlineLevel="0" collapsed="false">
      <c r="A64" s="0" t="n">
        <v>5</v>
      </c>
      <c r="B64" s="0" t="n">
        <f aca="false">IF(A64&lt;=$B$8,1,0)</f>
        <v>1</v>
      </c>
      <c r="C64" s="10" t="n">
        <f aca="false">IF(B64=1,$B$7,$B$9*(1+$B$10)^(A64-$B$8-1)*(1-$B$11))</f>
        <v>60</v>
      </c>
      <c r="D64" s="10" t="n">
        <f aca="false">$B$12*(1+$B$13)^(A64-1)</f>
        <v>6.62287734375</v>
      </c>
      <c r="E64" s="10" t="n">
        <f aca="false">$B$28*C64/1000-D64</f>
        <v>20.18272265625</v>
      </c>
      <c r="F64" s="10" t="n">
        <f aca="false">$B$29*C64/1000-D64</f>
        <v>17.7780295510746</v>
      </c>
      <c r="G64" s="10" t="n">
        <f aca="false">IF(A64&lt;=$B$17,1,0)</f>
        <v>1</v>
      </c>
      <c r="H64" s="10" t="n">
        <f aca="false">IF(B64=1,F64/$B$18,E64/$B$19)</f>
        <v>13.1689107785738</v>
      </c>
      <c r="I64" s="10" t="n">
        <f aca="false">G64*H64</f>
        <v>13.1689107785738</v>
      </c>
      <c r="J64" s="10" t="n">
        <f aca="false">I64*$B$37</f>
        <v>13.1689107785738</v>
      </c>
      <c r="K64" s="10" t="n">
        <f aca="false">O64*$B$16*G64</f>
        <v>5.80438902177002</v>
      </c>
      <c r="L64" s="10" t="n">
        <f aca="false">J64-K64</f>
        <v>7.36452175680379</v>
      </c>
      <c r="M64" s="15" t="n">
        <f aca="false">IF(G64=1,E64/J64,"")</f>
        <v>1.53260379659401</v>
      </c>
      <c r="N64" s="15" t="n">
        <f aca="false">IF(G64=1,F64/J64,"")</f>
        <v>1.35</v>
      </c>
      <c r="O64" s="10" t="n">
        <f aca="false">P63</f>
        <v>100.945896030783</v>
      </c>
      <c r="P64" s="10" t="n">
        <f aca="false">O64-L64</f>
        <v>93.5813742739791</v>
      </c>
      <c r="Q64" s="10" t="n">
        <f aca="false">F64*G64</f>
        <v>17.7780295510746</v>
      </c>
      <c r="R64" s="10" t="n">
        <f aca="false">E64*G64</f>
        <v>20.18272265625</v>
      </c>
      <c r="S64" s="10" t="n">
        <f aca="false">IF(A64=$B$24,$B$25,$B$28*(1-$B$26))</f>
        <v>446.76</v>
      </c>
      <c r="T64" s="10" t="n">
        <f aca="false">S64*IF(B64=1,C64,C64*(1+$B$23))/1000-D64</f>
        <v>20.18272265625</v>
      </c>
      <c r="U64" s="15" t="n">
        <f aca="false">IF(G64=1,T64/J64,"")</f>
        <v>1.53260379659401</v>
      </c>
      <c r="V64" s="15" t="n">
        <f aca="false">IF(G64=1,($B$29*(1-$B$26)*IF(B64=1,C64,C64*(1+$B$23))/1000-D64)/J64,"")</f>
        <v>1.35</v>
      </c>
      <c r="W64" s="15" t="n">
        <f aca="false">IF(AND(B64=0,G64=1),U64,99)</f>
        <v>99</v>
      </c>
      <c r="X64" s="15" t="n">
        <f aca="false">IF(AND(B64=0,G64=1),V64,99)</f>
        <v>99</v>
      </c>
      <c r="Y64" s="12" t="n">
        <f aca="false">IF(AND(B64=0,G64=1),(J64+D64)/($B$28*C64/1000)-1,-9)</f>
        <v>-9</v>
      </c>
      <c r="Z64" s="12" t="n">
        <f aca="false">IF(AND(B64=0,G64=1),(J64+D64)/($B$29*C64/1000)-1,-9)</f>
        <v>-9</v>
      </c>
      <c r="AA64" s="15" t="n">
        <f aca="false">IF(AND(B64=1,G64=1),U64,99)</f>
        <v>1.53260379659401</v>
      </c>
      <c r="AB64" s="15" t="n">
        <f aca="false">IF(AND(B64=1,G64=1),V64,99)</f>
        <v>1.35</v>
      </c>
    </row>
    <row r="65" customFormat="false" ht="15" hidden="false" customHeight="false" outlineLevel="0" collapsed="false">
      <c r="A65" s="0" t="n">
        <v>6</v>
      </c>
      <c r="B65" s="0" t="n">
        <f aca="false">IF(A65&lt;=$B$8,1,0)</f>
        <v>1</v>
      </c>
      <c r="C65" s="10" t="n">
        <f aca="false">IF(B65=1,$B$7,$B$9*(1+$B$10)^(A65-$B$8-1)*(1-$B$11))</f>
        <v>60</v>
      </c>
      <c r="D65" s="10" t="n">
        <f aca="false">$B$12*(1+$B$13)^(A65-1)</f>
        <v>6.78844927734375</v>
      </c>
      <c r="E65" s="10" t="n">
        <f aca="false">$B$28*C65/1000-D65</f>
        <v>20.0171507226563</v>
      </c>
      <c r="F65" s="10" t="n">
        <f aca="false">$B$29*C65/1000-D65</f>
        <v>17.6124576174809</v>
      </c>
      <c r="G65" s="10" t="n">
        <f aca="false">IF(A65&lt;=$B$17,1,0)</f>
        <v>1</v>
      </c>
      <c r="H65" s="10" t="n">
        <f aca="false">IF(B65=1,F65/$B$18,E65/$B$19)</f>
        <v>13.0462649018377</v>
      </c>
      <c r="I65" s="10" t="n">
        <f aca="false">G65*H65</f>
        <v>13.0462649018377</v>
      </c>
      <c r="J65" s="10" t="n">
        <f aca="false">I65*$B$37</f>
        <v>13.0462649018377</v>
      </c>
      <c r="K65" s="10" t="n">
        <f aca="false">O65*$B$16*G65</f>
        <v>5.3809290207538</v>
      </c>
      <c r="L65" s="10" t="n">
        <f aca="false">J65-K65</f>
        <v>7.6653358810839</v>
      </c>
      <c r="M65" s="15" t="n">
        <f aca="false">IF(G65=1,E65/J65,"")</f>
        <v>1.53432042605824</v>
      </c>
      <c r="N65" s="15" t="n">
        <f aca="false">IF(G65=1,F65/J65,"")</f>
        <v>1.35</v>
      </c>
      <c r="O65" s="10" t="n">
        <f aca="false">P64</f>
        <v>93.5813742739791</v>
      </c>
      <c r="P65" s="10" t="n">
        <f aca="false">O65-L65</f>
        <v>85.9160383928953</v>
      </c>
      <c r="Q65" s="10" t="n">
        <f aca="false">F65*G65</f>
        <v>17.6124576174809</v>
      </c>
      <c r="R65" s="10" t="n">
        <f aca="false">E65*G65</f>
        <v>20.0171507226563</v>
      </c>
      <c r="S65" s="10" t="n">
        <f aca="false">IF(A65=$B$24,$B$25,$B$28*(1-$B$26))</f>
        <v>446.76</v>
      </c>
      <c r="T65" s="10" t="n">
        <f aca="false">S65*IF(B65=1,C65,C65*(1+$B$23))/1000-D65</f>
        <v>20.0171507226563</v>
      </c>
      <c r="U65" s="15" t="n">
        <f aca="false">IF(G65=1,T65/J65,"")</f>
        <v>1.53432042605824</v>
      </c>
      <c r="V65" s="15" t="n">
        <f aca="false">IF(G65=1,($B$29*(1-$B$26)*IF(B65=1,C65,C65*(1+$B$23))/1000-D65)/J65,"")</f>
        <v>1.35</v>
      </c>
      <c r="W65" s="15" t="n">
        <f aca="false">IF(AND(B65=0,G65=1),U65,99)</f>
        <v>99</v>
      </c>
      <c r="X65" s="15" t="n">
        <f aca="false">IF(AND(B65=0,G65=1),V65,99)</f>
        <v>99</v>
      </c>
      <c r="Y65" s="12" t="n">
        <f aca="false">IF(AND(B65=0,G65=1),(J65+D65)/($B$28*C65/1000)-1,-9)</f>
        <v>-9</v>
      </c>
      <c r="Z65" s="12" t="n">
        <f aca="false">IF(AND(B65=0,G65=1),(J65+D65)/($B$29*C65/1000)-1,-9)</f>
        <v>-9</v>
      </c>
      <c r="AA65" s="15" t="n">
        <f aca="false">IF(AND(B65=1,G65=1),U65,99)</f>
        <v>1.53432042605824</v>
      </c>
      <c r="AB65" s="15" t="n">
        <f aca="false">IF(AND(B65=1,G65=1),V65,99)</f>
        <v>1.35</v>
      </c>
    </row>
    <row r="66" customFormat="false" ht="15" hidden="false" customHeight="false" outlineLevel="0" collapsed="false">
      <c r="A66" s="0" t="n">
        <v>7</v>
      </c>
      <c r="B66" s="0" t="n">
        <f aca="false">IF(A66&lt;=$B$8,1,0)</f>
        <v>1</v>
      </c>
      <c r="C66" s="10" t="n">
        <f aca="false">IF(B66=1,$B$7,$B$9*(1+$B$10)^(A66-$B$8-1)*(1-$B$11))</f>
        <v>60</v>
      </c>
      <c r="D66" s="10" t="n">
        <f aca="false">$B$12*(1+$B$13)^(A66-1)</f>
        <v>6.95816050927734</v>
      </c>
      <c r="E66" s="10" t="n">
        <f aca="false">$B$28*C66/1000-D66</f>
        <v>19.8474394907227</v>
      </c>
      <c r="F66" s="10" t="n">
        <f aca="false">$B$29*C66/1000-D66</f>
        <v>17.4427463855473</v>
      </c>
      <c r="G66" s="10" t="n">
        <f aca="false">IF(A66&lt;=$B$17,1,0)</f>
        <v>1</v>
      </c>
      <c r="H66" s="10" t="n">
        <f aca="false">IF(B66=1,F66/$B$18,E66/$B$19)</f>
        <v>12.9205528781832</v>
      </c>
      <c r="I66" s="10" t="n">
        <f aca="false">G66*H66</f>
        <v>12.9205528781832</v>
      </c>
      <c r="J66" s="10" t="n">
        <f aca="false">I66*$B$37</f>
        <v>12.9205528781832</v>
      </c>
      <c r="K66" s="10" t="n">
        <f aca="false">O66*$B$16*G66</f>
        <v>4.94017220759148</v>
      </c>
      <c r="L66" s="10" t="n">
        <f aca="false">J66-K66</f>
        <v>7.9803806705917</v>
      </c>
      <c r="M66" s="15" t="n">
        <f aca="false">IF(G66=1,E66/J66,"")</f>
        <v>1.53611379310523</v>
      </c>
      <c r="N66" s="15" t="n">
        <f aca="false">IF(G66=1,F66/J66,"")</f>
        <v>1.35</v>
      </c>
      <c r="O66" s="10" t="n">
        <f aca="false">P65</f>
        <v>85.9160383928953</v>
      </c>
      <c r="P66" s="10" t="n">
        <f aca="false">O66-L66</f>
        <v>77.9356577223036</v>
      </c>
      <c r="Q66" s="10" t="n">
        <f aca="false">F66*G66</f>
        <v>17.4427463855473</v>
      </c>
      <c r="R66" s="10" t="n">
        <f aca="false">E66*G66</f>
        <v>19.8474394907227</v>
      </c>
      <c r="S66" s="10" t="n">
        <f aca="false">IF(A66=$B$24,$B$25,$B$28*(1-$B$26))</f>
        <v>446.76</v>
      </c>
      <c r="T66" s="10" t="n">
        <f aca="false">S66*IF(B66=1,C66,C66*(1+$B$23))/1000-D66</f>
        <v>19.8474394907227</v>
      </c>
      <c r="U66" s="15" t="n">
        <f aca="false">IF(G66=1,T66/J66,"")</f>
        <v>1.53611379310523</v>
      </c>
      <c r="V66" s="15" t="n">
        <f aca="false">IF(G66=1,($B$29*(1-$B$26)*IF(B66=1,C66,C66*(1+$B$23))/1000-D66)/J66,"")</f>
        <v>1.35</v>
      </c>
      <c r="W66" s="15" t="n">
        <f aca="false">IF(AND(B66=0,G66=1),U66,99)</f>
        <v>99</v>
      </c>
      <c r="X66" s="15" t="n">
        <f aca="false">IF(AND(B66=0,G66=1),V66,99)</f>
        <v>99</v>
      </c>
      <c r="Y66" s="12" t="n">
        <f aca="false">IF(AND(B66=0,G66=1),(J66+D66)/($B$28*C66/1000)-1,-9)</f>
        <v>-9</v>
      </c>
      <c r="Z66" s="12" t="n">
        <f aca="false">IF(AND(B66=0,G66=1),(J66+D66)/($B$29*C66/1000)-1,-9)</f>
        <v>-9</v>
      </c>
      <c r="AA66" s="15" t="n">
        <f aca="false">IF(AND(B66=1,G66=1),U66,99)</f>
        <v>1.53611379310523</v>
      </c>
      <c r="AB66" s="15" t="n">
        <f aca="false">IF(AND(B66=1,G66=1),V66,99)</f>
        <v>1.35</v>
      </c>
    </row>
    <row r="67" customFormat="false" ht="15" hidden="false" customHeight="false" outlineLevel="0" collapsed="false">
      <c r="A67" s="0" t="n">
        <v>8</v>
      </c>
      <c r="B67" s="0" t="n">
        <f aca="false">IF(A67&lt;=$B$8,1,0)</f>
        <v>1</v>
      </c>
      <c r="C67" s="10" t="n">
        <f aca="false">IF(B67=1,$B$7,$B$9*(1+$B$10)^(A67-$B$8-1)*(1-$B$11))</f>
        <v>60</v>
      </c>
      <c r="D67" s="10" t="n">
        <f aca="false">$B$12*(1+$B$13)^(A67-1)</f>
        <v>7.13211452200927</v>
      </c>
      <c r="E67" s="10" t="n">
        <f aca="false">$B$28*C67/1000-D67</f>
        <v>19.6734854779907</v>
      </c>
      <c r="F67" s="10" t="n">
        <f aca="false">$B$29*C67/1000-D67</f>
        <v>17.2687923728154</v>
      </c>
      <c r="G67" s="10" t="n">
        <f aca="false">IF(A67&lt;=$B$17,1,0)</f>
        <v>1</v>
      </c>
      <c r="H67" s="10" t="n">
        <f aca="false">IF(B67=1,F67/$B$18,E67/$B$19)</f>
        <v>12.7916980539373</v>
      </c>
      <c r="I67" s="10" t="n">
        <f aca="false">G67*H67</f>
        <v>12.7916980539373</v>
      </c>
      <c r="J67" s="10" t="n">
        <f aca="false">I67*$B$37</f>
        <v>12.7916980539373</v>
      </c>
      <c r="K67" s="10" t="n">
        <f aca="false">O67*$B$16*G67</f>
        <v>4.48130031903245</v>
      </c>
      <c r="L67" s="10" t="n">
        <f aca="false">J67-K67</f>
        <v>8.31039773490485</v>
      </c>
      <c r="M67" s="15" t="n">
        <f aca="false">IF(G67=1,E67/J67,"")</f>
        <v>1.53798857626531</v>
      </c>
      <c r="N67" s="15" t="n">
        <f aca="false">IF(G67=1,F67/J67,"")</f>
        <v>1.35</v>
      </c>
      <c r="O67" s="10" t="n">
        <f aca="false">P66</f>
        <v>77.9356577223036</v>
      </c>
      <c r="P67" s="10" t="n">
        <f aca="false">O67-L67</f>
        <v>69.6252599873987</v>
      </c>
      <c r="Q67" s="10" t="n">
        <f aca="false">F67*G67</f>
        <v>17.2687923728154</v>
      </c>
      <c r="R67" s="10" t="n">
        <f aca="false">E67*G67</f>
        <v>19.6734854779907</v>
      </c>
      <c r="S67" s="10" t="n">
        <f aca="false">IF(A67=$B$24,$B$25,$B$28*(1-$B$26))</f>
        <v>446.76</v>
      </c>
      <c r="T67" s="10" t="n">
        <f aca="false">S67*IF(B67=1,C67,C67*(1+$B$23))/1000-D67</f>
        <v>19.6734854779907</v>
      </c>
      <c r="U67" s="15" t="n">
        <f aca="false">IF(G67=1,T67/J67,"")</f>
        <v>1.53798857626531</v>
      </c>
      <c r="V67" s="15" t="n">
        <f aca="false">IF(G67=1,($B$29*(1-$B$26)*IF(B67=1,C67,C67*(1+$B$23))/1000-D67)/J67,"")</f>
        <v>1.35</v>
      </c>
      <c r="W67" s="15" t="n">
        <f aca="false">IF(AND(B67=0,G67=1),U67,99)</f>
        <v>99</v>
      </c>
      <c r="X67" s="15" t="n">
        <f aca="false">IF(AND(B67=0,G67=1),V67,99)</f>
        <v>99</v>
      </c>
      <c r="Y67" s="12" t="n">
        <f aca="false">IF(AND(B67=0,G67=1),(J67+D67)/($B$28*C67/1000)-1,-9)</f>
        <v>-9</v>
      </c>
      <c r="Z67" s="12" t="n">
        <f aca="false">IF(AND(B67=0,G67=1),(J67+D67)/($B$29*C67/1000)-1,-9)</f>
        <v>-9</v>
      </c>
      <c r="AA67" s="15" t="n">
        <f aca="false">IF(AND(B67=1,G67=1),U67,99)</f>
        <v>1.53798857626531</v>
      </c>
      <c r="AB67" s="15" t="n">
        <f aca="false">IF(AND(B67=1,G67=1),V67,99)</f>
        <v>1.35</v>
      </c>
    </row>
    <row r="68" customFormat="false" ht="15" hidden="false" customHeight="false" outlineLevel="0" collapsed="false">
      <c r="A68" s="0" t="n">
        <v>9</v>
      </c>
      <c r="B68" s="0" t="n">
        <f aca="false">IF(A68&lt;=$B$8,1,0)</f>
        <v>1</v>
      </c>
      <c r="C68" s="10" t="n">
        <f aca="false">IF(B68=1,$B$7,$B$9*(1+$B$10)^(A68-$B$8-1)*(1-$B$11))</f>
        <v>60</v>
      </c>
      <c r="D68" s="10" t="n">
        <f aca="false">$B$12*(1+$B$13)^(A68-1)</f>
        <v>7.3104173850595</v>
      </c>
      <c r="E68" s="10" t="n">
        <f aca="false">$B$28*C68/1000-D68</f>
        <v>19.4951826149405</v>
      </c>
      <c r="F68" s="10" t="n">
        <f aca="false">$B$29*C68/1000-D68</f>
        <v>17.0904895097651</v>
      </c>
      <c r="G68" s="10" t="n">
        <f aca="false">IF(A68&lt;=$B$17,1,0)</f>
        <v>1</v>
      </c>
      <c r="H68" s="10" t="n">
        <f aca="false">IF(B68=1,F68/$B$18,E68/$B$19)</f>
        <v>12.6596218590853</v>
      </c>
      <c r="I68" s="10" t="n">
        <f aca="false">G68*H68</f>
        <v>12.6596218590853</v>
      </c>
      <c r="J68" s="10" t="n">
        <f aca="false">I68*$B$37</f>
        <v>12.6596218590853</v>
      </c>
      <c r="K68" s="10" t="n">
        <f aca="false">O68*$B$16*G68</f>
        <v>4.00345244927543</v>
      </c>
      <c r="L68" s="10" t="n">
        <f aca="false">J68-K68</f>
        <v>8.65616940980986</v>
      </c>
      <c r="M68" s="15" t="n">
        <f aca="false">IF(G68=1,E68/J68,"")</f>
        <v>1.53994983672831</v>
      </c>
      <c r="N68" s="15" t="n">
        <f aca="false">IF(G68=1,F68/J68,"")</f>
        <v>1.35</v>
      </c>
      <c r="O68" s="10" t="n">
        <f aca="false">P67</f>
        <v>69.6252599873987</v>
      </c>
      <c r="P68" s="10" t="n">
        <f aca="false">O68-L68</f>
        <v>60.9690905775888</v>
      </c>
      <c r="Q68" s="10" t="n">
        <f aca="false">F68*G68</f>
        <v>17.0904895097651</v>
      </c>
      <c r="R68" s="10" t="n">
        <f aca="false">E68*G68</f>
        <v>19.4951826149405</v>
      </c>
      <c r="S68" s="10" t="n">
        <f aca="false">IF(A68=$B$24,$B$25,$B$28*(1-$B$26))</f>
        <v>446.76</v>
      </c>
      <c r="T68" s="10" t="n">
        <f aca="false">S68*IF(B68=1,C68,C68*(1+$B$23))/1000-D68</f>
        <v>19.4951826149405</v>
      </c>
      <c r="U68" s="15" t="n">
        <f aca="false">IF(G68=1,T68/J68,"")</f>
        <v>1.53994983672831</v>
      </c>
      <c r="V68" s="15" t="n">
        <f aca="false">IF(G68=1,($B$29*(1-$B$26)*IF(B68=1,C68,C68*(1+$B$23))/1000-D68)/J68,"")</f>
        <v>1.35</v>
      </c>
      <c r="W68" s="15" t="n">
        <f aca="false">IF(AND(B68=0,G68=1),U68,99)</f>
        <v>99</v>
      </c>
      <c r="X68" s="15" t="n">
        <f aca="false">IF(AND(B68=0,G68=1),V68,99)</f>
        <v>99</v>
      </c>
      <c r="Y68" s="12" t="n">
        <f aca="false">IF(AND(B68=0,G68=1),(J68+D68)/($B$28*C68/1000)-1,-9)</f>
        <v>-9</v>
      </c>
      <c r="Z68" s="12" t="n">
        <f aca="false">IF(AND(B68=0,G68=1),(J68+D68)/($B$29*C68/1000)-1,-9)</f>
        <v>-9</v>
      </c>
      <c r="AA68" s="15" t="n">
        <f aca="false">IF(AND(B68=1,G68=1),U68,99)</f>
        <v>1.53994983672831</v>
      </c>
      <c r="AB68" s="15" t="n">
        <f aca="false">IF(AND(B68=1,G68=1),V68,99)</f>
        <v>1.35</v>
      </c>
    </row>
    <row r="69" customFormat="false" ht="15" hidden="false" customHeight="false" outlineLevel="0" collapsed="false">
      <c r="A69" s="0" t="n">
        <v>10</v>
      </c>
      <c r="B69" s="0" t="n">
        <f aca="false">IF(A69&lt;=$B$8,1,0)</f>
        <v>1</v>
      </c>
      <c r="C69" s="10" t="n">
        <f aca="false">IF(B69=1,$B$7,$B$9*(1+$B$10)^(A69-$B$8-1)*(1-$B$11))</f>
        <v>60</v>
      </c>
      <c r="D69" s="10" t="n">
        <f aca="false">$B$12*(1+$B$13)^(A69-1)</f>
        <v>7.49317781968599</v>
      </c>
      <c r="E69" s="10" t="n">
        <f aca="false">$B$28*C69/1000-D69</f>
        <v>19.312422180314</v>
      </c>
      <c r="F69" s="10" t="n">
        <f aca="false">$B$29*C69/1000-D69</f>
        <v>16.9077290751386</v>
      </c>
      <c r="G69" s="10" t="n">
        <f aca="false">IF(A69&lt;=$B$17,1,0)</f>
        <v>1</v>
      </c>
      <c r="H69" s="10" t="n">
        <f aca="false">IF(B69=1,F69/$B$18,E69/$B$19)</f>
        <v>12.524243759362</v>
      </c>
      <c r="I69" s="10" t="n">
        <f aca="false">G69*H69</f>
        <v>12.524243759362</v>
      </c>
      <c r="J69" s="10" t="n">
        <f aca="false">I69*$B$37</f>
        <v>12.524243759362</v>
      </c>
      <c r="K69" s="10" t="n">
        <f aca="false">O69*$B$16*G69</f>
        <v>3.50572270821136</v>
      </c>
      <c r="L69" s="10" t="n">
        <f aca="false">J69-K69</f>
        <v>9.0185210511506</v>
      </c>
      <c r="M69" s="15" t="n">
        <f aca="false">IF(G69=1,E69/J69,"")</f>
        <v>1.54200305833858</v>
      </c>
      <c r="N69" s="15" t="n">
        <f aca="false">IF(G69=1,F69/J69,"")</f>
        <v>1.35</v>
      </c>
      <c r="O69" s="10" t="n">
        <f aca="false">P68</f>
        <v>60.9690905775888</v>
      </c>
      <c r="P69" s="10" t="n">
        <f aca="false">O69-L69</f>
        <v>51.9505695264382</v>
      </c>
      <c r="Q69" s="10" t="n">
        <f aca="false">F69*G69</f>
        <v>16.9077290751386</v>
      </c>
      <c r="R69" s="10" t="n">
        <f aca="false">E69*G69</f>
        <v>19.312422180314</v>
      </c>
      <c r="S69" s="10" t="n">
        <f aca="false">IF(A69=$B$24,$B$25,$B$28*(1-$B$26))</f>
        <v>446.76</v>
      </c>
      <c r="T69" s="10" t="n">
        <f aca="false">S69*IF(B69=1,C69,C69*(1+$B$23))/1000-D69</f>
        <v>19.312422180314</v>
      </c>
      <c r="U69" s="15" t="n">
        <f aca="false">IF(G69=1,T69/J69,"")</f>
        <v>1.54200305833858</v>
      </c>
      <c r="V69" s="15" t="n">
        <f aca="false">IF(G69=1,($B$29*(1-$B$26)*IF(B69=1,C69,C69*(1+$B$23))/1000-D69)/J69,"")</f>
        <v>1.35</v>
      </c>
      <c r="W69" s="15" t="n">
        <f aca="false">IF(AND(B69=0,G69=1),U69,99)</f>
        <v>99</v>
      </c>
      <c r="X69" s="15" t="n">
        <f aca="false">IF(AND(B69=0,G69=1),V69,99)</f>
        <v>99</v>
      </c>
      <c r="Y69" s="12" t="n">
        <f aca="false">IF(AND(B69=0,G69=1),(J69+D69)/($B$28*C69/1000)-1,-9)</f>
        <v>-9</v>
      </c>
      <c r="Z69" s="12" t="n">
        <f aca="false">IF(AND(B69=0,G69=1),(J69+D69)/($B$29*C69/1000)-1,-9)</f>
        <v>-9</v>
      </c>
      <c r="AA69" s="15" t="n">
        <f aca="false">IF(AND(B69=1,G69=1),U69,99)</f>
        <v>1.54200305833858</v>
      </c>
      <c r="AB69" s="15" t="n">
        <f aca="false">IF(AND(B69=1,G69=1),V69,99)</f>
        <v>1.35</v>
      </c>
    </row>
    <row r="70" customFormat="false" ht="15" hidden="false" customHeight="false" outlineLevel="0" collapsed="false">
      <c r="A70" s="0" t="n">
        <v>11</v>
      </c>
      <c r="B70" s="0" t="n">
        <f aca="false">IF(A70&lt;=$B$8,1,0)</f>
        <v>1</v>
      </c>
      <c r="C70" s="10" t="n">
        <f aca="false">IF(B70=1,$B$7,$B$9*(1+$B$10)^(A70-$B$8-1)*(1-$B$11))</f>
        <v>60</v>
      </c>
      <c r="D70" s="10" t="n">
        <f aca="false">$B$12*(1+$B$13)^(A70-1)</f>
        <v>7.68050726517814</v>
      </c>
      <c r="E70" s="10" t="n">
        <f aca="false">$B$28*C70/1000-D70</f>
        <v>19.1250927348219</v>
      </c>
      <c r="F70" s="10" t="n">
        <f aca="false">$B$29*C70/1000-D70</f>
        <v>16.7203996296465</v>
      </c>
      <c r="G70" s="10" t="n">
        <f aca="false">IF(A70&lt;=$B$17,1,0)</f>
        <v>1</v>
      </c>
      <c r="H70" s="10" t="n">
        <f aca="false">IF(B70=1,F70/$B$18,E70/$B$19)</f>
        <v>12.3854812071456</v>
      </c>
      <c r="I70" s="10" t="n">
        <f aca="false">G70*H70</f>
        <v>12.3854812071456</v>
      </c>
      <c r="J70" s="10" t="n">
        <f aca="false">I70*$B$37</f>
        <v>12.3854812071456</v>
      </c>
      <c r="K70" s="10" t="n">
        <f aca="false">O70*$B$16*G70</f>
        <v>2.9871577477702</v>
      </c>
      <c r="L70" s="10" t="n">
        <f aca="false">J70-K70</f>
        <v>9.39832345937536</v>
      </c>
      <c r="M70" s="15" t="n">
        <f aca="false">IF(G70=1,E70/J70,"")</f>
        <v>1.54415419271623</v>
      </c>
      <c r="N70" s="15" t="n">
        <f aca="false">IF(G70=1,F70/J70,"")</f>
        <v>1.35</v>
      </c>
      <c r="O70" s="10" t="n">
        <f aca="false">P69</f>
        <v>51.9505695264382</v>
      </c>
      <c r="P70" s="10" t="n">
        <f aca="false">O70-L70</f>
        <v>42.5522460670629</v>
      </c>
      <c r="Q70" s="10" t="n">
        <f aca="false">F70*G70</f>
        <v>16.7203996296465</v>
      </c>
      <c r="R70" s="10" t="n">
        <f aca="false">E70*G70</f>
        <v>19.1250927348219</v>
      </c>
      <c r="S70" s="10" t="n">
        <f aca="false">IF(A70=$B$24,$B$25,$B$28*(1-$B$26))</f>
        <v>446.76</v>
      </c>
      <c r="T70" s="10" t="n">
        <f aca="false">S70*IF(B70=1,C70,C70*(1+$B$23))/1000-D70</f>
        <v>19.1250927348219</v>
      </c>
      <c r="U70" s="15" t="n">
        <f aca="false">IF(G70=1,T70/J70,"")</f>
        <v>1.54415419271623</v>
      </c>
      <c r="V70" s="15" t="n">
        <f aca="false">IF(G70=1,($B$29*(1-$B$26)*IF(B70=1,C70,C70*(1+$B$23))/1000-D70)/J70,"")</f>
        <v>1.35</v>
      </c>
      <c r="W70" s="15" t="n">
        <f aca="false">IF(AND(B70=0,G70=1),U70,99)</f>
        <v>99</v>
      </c>
      <c r="X70" s="15" t="n">
        <f aca="false">IF(AND(B70=0,G70=1),V70,99)</f>
        <v>99</v>
      </c>
      <c r="Y70" s="12" t="n">
        <f aca="false">IF(AND(B70=0,G70=1),(J70+D70)/($B$28*C70/1000)-1,-9)</f>
        <v>-9</v>
      </c>
      <c r="Z70" s="12" t="n">
        <f aca="false">IF(AND(B70=0,G70=1),(J70+D70)/($B$29*C70/1000)-1,-9)</f>
        <v>-9</v>
      </c>
      <c r="AA70" s="15" t="n">
        <f aca="false">IF(AND(B70=1,G70=1),U70,99)</f>
        <v>1.54415419271623</v>
      </c>
      <c r="AB70" s="15" t="n">
        <f aca="false">IF(AND(B70=1,G70=1),V70,99)</f>
        <v>1.35</v>
      </c>
    </row>
    <row r="71" customFormat="false" ht="15" hidden="false" customHeight="false" outlineLevel="0" collapsed="false">
      <c r="A71" s="0" t="n">
        <v>12</v>
      </c>
      <c r="B71" s="0" t="n">
        <f aca="false">IF(A71&lt;=$B$8,1,0)</f>
        <v>1</v>
      </c>
      <c r="C71" s="10" t="n">
        <f aca="false">IF(B71=1,$B$7,$B$9*(1+$B$10)^(A71-$B$8-1)*(1-$B$11))</f>
        <v>60</v>
      </c>
      <c r="D71" s="10" t="n">
        <f aca="false">$B$12*(1+$B$13)^(A71-1)</f>
        <v>7.87251994680759</v>
      </c>
      <c r="E71" s="10" t="n">
        <f aca="false">$B$28*C71/1000-D71</f>
        <v>18.9330800531924</v>
      </c>
      <c r="F71" s="10" t="n">
        <f aca="false">$B$29*C71/1000-D71</f>
        <v>16.528386948017</v>
      </c>
      <c r="G71" s="10" t="n">
        <f aca="false">IF(A71&lt;=$B$17,1,0)</f>
        <v>1</v>
      </c>
      <c r="H71" s="10" t="n">
        <f aca="false">IF(B71=1,F71/$B$18,E71/$B$19)</f>
        <v>12.2432495911237</v>
      </c>
      <c r="I71" s="10" t="n">
        <f aca="false">G71*H71</f>
        <v>12.2432495911237</v>
      </c>
      <c r="J71" s="10" t="n">
        <f aca="false">I71*$B$37</f>
        <v>12.2432495911237</v>
      </c>
      <c r="K71" s="10" t="n">
        <f aca="false">O71*$B$16*G71</f>
        <v>2.44675414885612</v>
      </c>
      <c r="L71" s="10" t="n">
        <f aca="false">J71-K71</f>
        <v>9.79649544226762</v>
      </c>
      <c r="M71" s="15" t="n">
        <f aca="false">IF(G71=1,E71/J71,"")</f>
        <v>1.54640971028792</v>
      </c>
      <c r="N71" s="15" t="n">
        <f aca="false">IF(G71=1,F71/J71,"")</f>
        <v>1.35</v>
      </c>
      <c r="O71" s="10" t="n">
        <f aca="false">P70</f>
        <v>42.5522460670629</v>
      </c>
      <c r="P71" s="10" t="n">
        <f aca="false">O71-L71</f>
        <v>32.7557506247953</v>
      </c>
      <c r="Q71" s="10" t="n">
        <f aca="false">F71*G71</f>
        <v>16.528386948017</v>
      </c>
      <c r="R71" s="10" t="n">
        <f aca="false">E71*G71</f>
        <v>18.9330800531924</v>
      </c>
      <c r="S71" s="10" t="n">
        <f aca="false">IF(A71=$B$24,$B$25,$B$28*(1-$B$26))</f>
        <v>446.76</v>
      </c>
      <c r="T71" s="10" t="n">
        <f aca="false">S71*IF(B71=1,C71,C71*(1+$B$23))/1000-D71</f>
        <v>18.9330800531924</v>
      </c>
      <c r="U71" s="15" t="n">
        <f aca="false">IF(G71=1,T71/J71,"")</f>
        <v>1.54640971028792</v>
      </c>
      <c r="V71" s="15" t="n">
        <f aca="false">IF(G71=1,($B$29*(1-$B$26)*IF(B71=1,C71,C71*(1+$B$23))/1000-D71)/J71,"")</f>
        <v>1.35</v>
      </c>
      <c r="W71" s="15" t="n">
        <f aca="false">IF(AND(B71=0,G71=1),U71,99)</f>
        <v>99</v>
      </c>
      <c r="X71" s="15" t="n">
        <f aca="false">IF(AND(B71=0,G71=1),V71,99)</f>
        <v>99</v>
      </c>
      <c r="Y71" s="12" t="n">
        <f aca="false">IF(AND(B71=0,G71=1),(J71+D71)/($B$28*C71/1000)-1,-9)</f>
        <v>-9</v>
      </c>
      <c r="Z71" s="12" t="n">
        <f aca="false">IF(AND(B71=0,G71=1),(J71+D71)/($B$29*C71/1000)-1,-9)</f>
        <v>-9</v>
      </c>
      <c r="AA71" s="15" t="n">
        <f aca="false">IF(AND(B71=1,G71=1),U71,99)</f>
        <v>1.54640971028792</v>
      </c>
      <c r="AB71" s="15" t="n">
        <f aca="false">IF(AND(B71=1,G71=1),V71,99)</f>
        <v>1.35</v>
      </c>
    </row>
    <row r="72" customFormat="false" ht="15" hidden="false" customHeight="false" outlineLevel="0" collapsed="false">
      <c r="A72" s="0" t="n">
        <v>13</v>
      </c>
      <c r="B72" s="0" t="n">
        <f aca="false">IF(A72&lt;=$B$8,1,0)</f>
        <v>0</v>
      </c>
      <c r="C72" s="10" t="n">
        <f aca="false">IF(B72=1,$B$7,$B$9*(1+$B$10)^(A72-$B$8-1)*(1-$B$11))</f>
        <v>44.2</v>
      </c>
      <c r="D72" s="10" t="n">
        <f aca="false">$B$12*(1+$B$13)^(A72-1)</f>
        <v>8.06933294547778</v>
      </c>
      <c r="E72" s="10" t="n">
        <f aca="false">$B$28*C72/1000-D72</f>
        <v>11.6774590545222</v>
      </c>
      <c r="F72" s="10" t="n">
        <f aca="false">$B$29*C72/1000-D72</f>
        <v>9.90600180037637</v>
      </c>
      <c r="G72" s="10" t="n">
        <f aca="false">IF(A72&lt;=$B$17,1,0)</f>
        <v>1</v>
      </c>
      <c r="H72" s="10" t="n">
        <f aca="false">IF(B72=1,F72/$B$18,E72/$B$19)</f>
        <v>6.48747725251234</v>
      </c>
      <c r="I72" s="10" t="n">
        <f aca="false">G72*H72</f>
        <v>6.48747725251234</v>
      </c>
      <c r="J72" s="10" t="n">
        <f aca="false">I72*$B$37</f>
        <v>6.48747725251234</v>
      </c>
      <c r="K72" s="10" t="n">
        <f aca="false">O72*$B$16*G72</f>
        <v>1.88345566092573</v>
      </c>
      <c r="L72" s="10" t="n">
        <f aca="false">J72-K72</f>
        <v>4.60402159158662</v>
      </c>
      <c r="M72" s="15" t="n">
        <f aca="false">IF(G72=1,E72/J72,"")</f>
        <v>1.8</v>
      </c>
      <c r="N72" s="15" t="n">
        <f aca="false">IF(G72=1,F72/J72,"")</f>
        <v>1.52694204770277</v>
      </c>
      <c r="O72" s="10" t="n">
        <f aca="false">P71</f>
        <v>32.7557506247953</v>
      </c>
      <c r="P72" s="10" t="n">
        <f aca="false">O72-L72</f>
        <v>28.1517290332086</v>
      </c>
      <c r="Q72" s="10" t="n">
        <f aca="false">F72*G72</f>
        <v>9.90600180037637</v>
      </c>
      <c r="R72" s="10" t="n">
        <f aca="false">E72*G72</f>
        <v>11.6774590545222</v>
      </c>
      <c r="S72" s="10" t="n">
        <f aca="false">IF(A72=$B$24,$B$25,$B$28*(1-$B$26))</f>
        <v>446.76</v>
      </c>
      <c r="T72" s="10" t="n">
        <f aca="false">S72*IF(B72=1,C72,C72*(1+$B$23))/1000-D72</f>
        <v>11.6774590545222</v>
      </c>
      <c r="U72" s="15" t="n">
        <f aca="false">IF(G72=1,T72/J72,"")</f>
        <v>1.8</v>
      </c>
      <c r="V72" s="15" t="n">
        <f aca="false">IF(G72=1,($B$29*(1-$B$26)*IF(B72=1,C72,C72*(1+$B$23))/1000-D72)/J72,"")</f>
        <v>1.52694204770277</v>
      </c>
      <c r="W72" s="15" t="n">
        <f aca="false">IF(AND(B72=0,G72=1),U72,99)</f>
        <v>1.8</v>
      </c>
      <c r="X72" s="15" t="n">
        <f aca="false">IF(AND(B72=0,G72=1),V72,99)</f>
        <v>1.52694204770277</v>
      </c>
      <c r="Y72" s="12" t="n">
        <f aca="false">IF(AND(B72=0,G72=1),(J72+D72)/($B$28*C72/1000)-1,-9)</f>
        <v>-0.262826579730514</v>
      </c>
      <c r="Z72" s="12" t="n">
        <f aca="false">IF(AND(B72=0,G72=1),(J72+D72)/($B$29*C72/1000)-1,-9)</f>
        <v>-0.190178630673483</v>
      </c>
      <c r="AA72" s="15" t="n">
        <f aca="false">IF(AND(B72=1,G72=1),U72,99)</f>
        <v>99</v>
      </c>
      <c r="AB72" s="15" t="n">
        <f aca="false">IF(AND(B72=1,G72=1),V72,99)</f>
        <v>99</v>
      </c>
    </row>
    <row r="73" customFormat="false" ht="15" hidden="false" customHeight="false" outlineLevel="0" collapsed="false">
      <c r="A73" s="0" t="n">
        <v>14</v>
      </c>
      <c r="B73" s="0" t="n">
        <f aca="false">IF(A73&lt;=$B$8,1,0)</f>
        <v>0</v>
      </c>
      <c r="C73" s="10" t="n">
        <f aca="false">IF(B73=1,$B$7,$B$9*(1+$B$10)^(A73-$B$8-1)*(1-$B$11))</f>
        <v>44.863</v>
      </c>
      <c r="D73" s="10" t="n">
        <f aca="false">$B$12*(1+$B$13)^(A73-1)</f>
        <v>8.27106626911473</v>
      </c>
      <c r="E73" s="10" t="n">
        <f aca="false">$B$28*C73/1000-D73</f>
        <v>11.7719276108853</v>
      </c>
      <c r="F73" s="10" t="n">
        <f aca="false">$B$29*C73/1000-D73</f>
        <v>9.97389849792723</v>
      </c>
      <c r="G73" s="10" t="n">
        <f aca="false">IF(A73&lt;=$B$17,1,0)</f>
        <v>1</v>
      </c>
      <c r="H73" s="10" t="n">
        <f aca="false">IF(B73=1,F73/$B$18,E73/$B$19)</f>
        <v>6.53995978382515</v>
      </c>
      <c r="I73" s="10" t="n">
        <f aca="false">G73*H73</f>
        <v>6.53995978382515</v>
      </c>
      <c r="J73" s="10" t="n">
        <f aca="false">I73*$B$37</f>
        <v>6.53995978382515</v>
      </c>
      <c r="K73" s="10" t="n">
        <f aca="false">O73*$B$16*G73</f>
        <v>1.6187244194095</v>
      </c>
      <c r="L73" s="10" t="n">
        <f aca="false">J73-K73</f>
        <v>4.92123536441565</v>
      </c>
      <c r="M73" s="15" t="n">
        <f aca="false">IF(G73=1,E73/J73,"")</f>
        <v>1.8</v>
      </c>
      <c r="N73" s="15" t="n">
        <f aca="false">IF(G73=1,F73/J73,"")</f>
        <v>1.525070310462</v>
      </c>
      <c r="O73" s="10" t="n">
        <f aca="false">P72</f>
        <v>28.1517290332086</v>
      </c>
      <c r="P73" s="10" t="n">
        <f aca="false">O73-L73</f>
        <v>23.230493668793</v>
      </c>
      <c r="Q73" s="10" t="n">
        <f aca="false">F73*G73</f>
        <v>9.97389849792723</v>
      </c>
      <c r="R73" s="10" t="n">
        <f aca="false">E73*G73</f>
        <v>11.7719276108853</v>
      </c>
      <c r="S73" s="10" t="n">
        <f aca="false">IF(A73=$B$24,$B$25,$B$28*(1-$B$26))</f>
        <v>446.76</v>
      </c>
      <c r="T73" s="10" t="n">
        <f aca="false">S73*IF(B73=1,C73,C73*(1+$B$23))/1000-D73</f>
        <v>11.7719276108853</v>
      </c>
      <c r="U73" s="15" t="n">
        <f aca="false">IF(G73=1,T73/J73,"")</f>
        <v>1.8</v>
      </c>
      <c r="V73" s="15" t="n">
        <f aca="false">IF(G73=1,($B$29*(1-$B$26)*IF(B73=1,C73,C73*(1+$B$23))/1000-D73)/J73,"")</f>
        <v>1.525070310462</v>
      </c>
      <c r="W73" s="15" t="n">
        <f aca="false">IF(AND(B73=0,G73=1),U73,99)</f>
        <v>1.8</v>
      </c>
      <c r="X73" s="15" t="n">
        <f aca="false">IF(AND(B73=0,G73=1),V73,99)</f>
        <v>1.525070310462</v>
      </c>
      <c r="Y73" s="12" t="n">
        <f aca="false">IF(AND(B73=0,G73=1),(J73+D73)/($B$28*C73/1000)-1,-9)</f>
        <v>-0.261037241161904</v>
      </c>
      <c r="Z73" s="12" t="n">
        <f aca="false">IF(AND(B73=0,G73=1),(J73+D73)/($B$29*C73/1000)-1,-9)</f>
        <v>-0.188212953981978</v>
      </c>
      <c r="AA73" s="15" t="n">
        <f aca="false">IF(AND(B73=1,G73=1),U73,99)</f>
        <v>99</v>
      </c>
      <c r="AB73" s="15" t="n">
        <f aca="false">IF(AND(B73=1,G73=1),V73,99)</f>
        <v>99</v>
      </c>
    </row>
    <row r="74" customFormat="false" ht="15" hidden="false" customHeight="false" outlineLevel="0" collapsed="false">
      <c r="A74" s="0" t="n">
        <v>15</v>
      </c>
      <c r="B74" s="0" t="n">
        <f aca="false">IF(A74&lt;=$B$8,1,0)</f>
        <v>0</v>
      </c>
      <c r="C74" s="10" t="n">
        <f aca="false">IF(B74=1,$B$7,$B$9*(1+$B$10)^(A74-$B$8-1)*(1-$B$11))</f>
        <v>45.535945</v>
      </c>
      <c r="D74" s="10" t="n">
        <f aca="false">$B$12*(1+$B$13)^(A74-1)</f>
        <v>8.47784292584259</v>
      </c>
      <c r="E74" s="10" t="n">
        <f aca="false">$B$28*C74/1000-D74</f>
        <v>11.8657958623574</v>
      </c>
      <c r="F74" s="10" t="n">
        <f aca="false">$B$29*C74/1000-D74</f>
        <v>10.040796312705</v>
      </c>
      <c r="G74" s="10" t="n">
        <f aca="false">IF(A74&lt;=$B$17,1,0)</f>
        <v>1</v>
      </c>
      <c r="H74" s="10" t="n">
        <f aca="false">IF(B74=1,F74/$B$18,E74/$B$19)</f>
        <v>6.59210881242078</v>
      </c>
      <c r="I74" s="10" t="n">
        <f aca="false">G74*H74</f>
        <v>6.59210881242078</v>
      </c>
      <c r="J74" s="10" t="n">
        <f aca="false">I74*$B$37</f>
        <v>6.59210881242078</v>
      </c>
      <c r="K74" s="10" t="n">
        <f aca="false">O74*$B$16*G74</f>
        <v>1.3357533859556</v>
      </c>
      <c r="L74" s="10" t="n">
        <f aca="false">J74-K74</f>
        <v>5.25635542646518</v>
      </c>
      <c r="M74" s="15" t="n">
        <f aca="false">IF(G74=1,E74/J74,"")</f>
        <v>1.8</v>
      </c>
      <c r="N74" s="15" t="n">
        <f aca="false">IF(G74=1,F74/J74,"")</f>
        <v>1.52315390998799</v>
      </c>
      <c r="O74" s="10" t="n">
        <f aca="false">P73</f>
        <v>23.230493668793</v>
      </c>
      <c r="P74" s="10" t="n">
        <f aca="false">O74-L74</f>
        <v>17.9741382423278</v>
      </c>
      <c r="Q74" s="10" t="n">
        <f aca="false">F74*G74</f>
        <v>10.040796312705</v>
      </c>
      <c r="R74" s="10" t="n">
        <f aca="false">E74*G74</f>
        <v>11.8657958623574</v>
      </c>
      <c r="S74" s="10" t="n">
        <f aca="false">IF(A74=$B$24,$B$25,$B$28*(1-$B$26))</f>
        <v>446.76</v>
      </c>
      <c r="T74" s="10" t="n">
        <f aca="false">S74*IF(B74=1,C74,C74*(1+$B$23))/1000-D74</f>
        <v>11.8657958623574</v>
      </c>
      <c r="U74" s="15" t="n">
        <f aca="false">IF(G74=1,T74/J74,"")</f>
        <v>1.8</v>
      </c>
      <c r="V74" s="15" t="n">
        <f aca="false">IF(G74=1,($B$29*(1-$B$26)*IF(B74=1,C74,C74*(1+$B$23))/1000-D74)/J74,"")</f>
        <v>1.52315390998799</v>
      </c>
      <c r="W74" s="15" t="n">
        <f aca="false">IF(AND(B74=0,G74=1),U74,99)</f>
        <v>1.8</v>
      </c>
      <c r="X74" s="15" t="n">
        <f aca="false">IF(AND(B74=0,G74=1),V74,99)</f>
        <v>1.52315390998799</v>
      </c>
      <c r="Y74" s="12" t="n">
        <f aca="false">IF(AND(B74=0,G74=1),(J74+D74)/($B$28*C74/1000)-1,-9)</f>
        <v>-0.259230273641879</v>
      </c>
      <c r="Z74" s="12" t="n">
        <f aca="false">IF(AND(B74=0,G74=1),(J74+D74)/($B$29*C74/1000)-1,-9)</f>
        <v>-0.186227911017651</v>
      </c>
      <c r="AA74" s="15" t="n">
        <f aca="false">IF(AND(B74=1,G74=1),U74,99)</f>
        <v>99</v>
      </c>
      <c r="AB74" s="15" t="n">
        <f aca="false">IF(AND(B74=1,G74=1),V74,99)</f>
        <v>99</v>
      </c>
    </row>
    <row r="75" customFormat="false" ht="15" hidden="false" customHeight="false" outlineLevel="0" collapsed="false">
      <c r="A75" s="0" t="n">
        <v>16</v>
      </c>
      <c r="B75" s="0" t="n">
        <f aca="false">IF(A75&lt;=$B$8,1,0)</f>
        <v>0</v>
      </c>
      <c r="C75" s="10" t="n">
        <f aca="false">IF(B75=1,$B$7,$B$9*(1+$B$10)^(A75-$B$8-1)*(1-$B$11))</f>
        <v>46.218984175</v>
      </c>
      <c r="D75" s="10" t="n">
        <f aca="false">$B$12*(1+$B$13)^(A75-1)</f>
        <v>8.68978899898866</v>
      </c>
      <c r="E75" s="10" t="n">
        <f aca="false">$B$28*C75/1000-D75</f>
        <v>11.9590043710343</v>
      </c>
      <c r="F75" s="10" t="n">
        <f aca="false">$B$29*C75/1000-D75</f>
        <v>10.1066298281371</v>
      </c>
      <c r="G75" s="10" t="n">
        <f aca="false">IF(A75&lt;=$B$17,1,0)</f>
        <v>1</v>
      </c>
      <c r="H75" s="10" t="n">
        <f aca="false">IF(B75=1,F75/$B$18,E75/$B$19)</f>
        <v>6.6438913172413</v>
      </c>
      <c r="I75" s="10" t="n">
        <f aca="false">G75*H75</f>
        <v>6.6438913172413</v>
      </c>
      <c r="J75" s="10" t="n">
        <f aca="false">I75*$B$37</f>
        <v>6.6438913172413</v>
      </c>
      <c r="K75" s="10" t="n">
        <f aca="false">O75*$B$16*G75</f>
        <v>1.03351294893385</v>
      </c>
      <c r="L75" s="10" t="n">
        <f aca="false">J75-K75</f>
        <v>5.61037836830745</v>
      </c>
      <c r="M75" s="15" t="n">
        <f aca="false">IF(G75=1,E75/J75,"")</f>
        <v>1.8</v>
      </c>
      <c r="N75" s="15" t="n">
        <f aca="false">IF(G75=1,F75/J75,"")</f>
        <v>1.52119132381197</v>
      </c>
      <c r="O75" s="10" t="n">
        <f aca="false">P74</f>
        <v>17.9741382423278</v>
      </c>
      <c r="P75" s="10" t="n">
        <f aca="false">O75-L75</f>
        <v>12.3637598740204</v>
      </c>
      <c r="Q75" s="10" t="n">
        <f aca="false">F75*G75</f>
        <v>10.1066298281371</v>
      </c>
      <c r="R75" s="10" t="n">
        <f aca="false">E75*G75</f>
        <v>11.9590043710343</v>
      </c>
      <c r="S75" s="10" t="n">
        <f aca="false">IF(A75=$B$24,$B$25,$B$28*(1-$B$26))</f>
        <v>446.76</v>
      </c>
      <c r="T75" s="10" t="n">
        <f aca="false">S75*IF(B75=1,C75,C75*(1+$B$23))/1000-D75</f>
        <v>11.9590043710343</v>
      </c>
      <c r="U75" s="15" t="n">
        <f aca="false">IF(G75=1,T75/J75,"")</f>
        <v>1.8</v>
      </c>
      <c r="V75" s="15" t="n">
        <f aca="false">IF(G75=1,($B$29*(1-$B$26)*IF(B75=1,C75,C75*(1+$B$23))/1000-D75)/J75,"")</f>
        <v>1.52119132381197</v>
      </c>
      <c r="W75" s="15" t="n">
        <f aca="false">IF(AND(B75=0,G75=1),U75,99)</f>
        <v>1.8</v>
      </c>
      <c r="X75" s="15" t="n">
        <f aca="false">IF(AND(B75=0,G75=1),V75,99)</f>
        <v>1.52119132381197</v>
      </c>
      <c r="Y75" s="12" t="n">
        <f aca="false">IF(AND(B75=0,G75=1),(J75+D75)/($B$28*C75/1000)-1,-9)</f>
        <v>-0.257405503486188</v>
      </c>
      <c r="Z75" s="12" t="n">
        <f aca="false">IF(AND(B75=0,G75=1),(J75+D75)/($B$29*C75/1000)-1,-9)</f>
        <v>-0.184223310979783</v>
      </c>
      <c r="AA75" s="15" t="n">
        <f aca="false">IF(AND(B75=1,G75=1),U75,99)</f>
        <v>99</v>
      </c>
      <c r="AB75" s="15" t="n">
        <f aca="false">IF(AND(B75=1,G75=1),V75,99)</f>
        <v>99</v>
      </c>
    </row>
    <row r="76" customFormat="false" ht="15" hidden="false" customHeight="false" outlineLevel="0" collapsed="false">
      <c r="A76" s="0" t="n">
        <v>17</v>
      </c>
      <c r="B76" s="0" t="n">
        <f aca="false">IF(A76&lt;=$B$8,1,0)</f>
        <v>0</v>
      </c>
      <c r="C76" s="10" t="n">
        <f aca="false">IF(B76=1,$B$7,$B$9*(1+$B$10)^(A76-$B$8-1)*(1-$B$11))</f>
        <v>46.912268937625</v>
      </c>
      <c r="D76" s="10" t="n">
        <f aca="false">$B$12*(1+$B$13)^(A76-1)</f>
        <v>8.90703372396337</v>
      </c>
      <c r="E76" s="10" t="n">
        <f aca="false">$B$28*C76/1000-D76</f>
        <v>12.05149154661</v>
      </c>
      <c r="F76" s="10" t="n">
        <f aca="false">$B$29*C76/1000-D76</f>
        <v>10.1713313855693</v>
      </c>
      <c r="G76" s="10" t="n">
        <f aca="false">IF(A76&lt;=$B$17,1,0)</f>
        <v>1</v>
      </c>
      <c r="H76" s="10" t="n">
        <f aca="false">IF(B76=1,F76/$B$18,E76/$B$19)</f>
        <v>6.69527308144998</v>
      </c>
      <c r="I76" s="10" t="n">
        <f aca="false">G76*H76</f>
        <v>6.69527308144998</v>
      </c>
      <c r="J76" s="10" t="n">
        <f aca="false">I76*$B$37</f>
        <v>6.69527308144998</v>
      </c>
      <c r="K76" s="10" t="n">
        <f aca="false">O76*$B$16*G76</f>
        <v>0.71091619275617</v>
      </c>
      <c r="L76" s="10" t="n">
        <f aca="false">J76-K76</f>
        <v>5.98435688869381</v>
      </c>
      <c r="M76" s="15" t="n">
        <f aca="false">IF(G76=1,E76/J76,"")</f>
        <v>1.8</v>
      </c>
      <c r="N76" s="15" t="n">
        <f aca="false">IF(G76=1,F76/J76,"")</f>
        <v>1.51918095973563</v>
      </c>
      <c r="O76" s="10" t="n">
        <f aca="false">P75</f>
        <v>12.3637598740204</v>
      </c>
      <c r="P76" s="10" t="n">
        <f aca="false">O76-L76</f>
        <v>6.37940298532654</v>
      </c>
      <c r="Q76" s="10" t="n">
        <f aca="false">F76*G76</f>
        <v>10.1713313855693</v>
      </c>
      <c r="R76" s="10" t="n">
        <f aca="false">E76*G76</f>
        <v>12.05149154661</v>
      </c>
      <c r="S76" s="10" t="n">
        <f aca="false">IF(A76=$B$24,$B$25,$B$28*(1-$B$26))</f>
        <v>446.76</v>
      </c>
      <c r="T76" s="10" t="n">
        <f aca="false">S76*IF(B76=1,C76,C76*(1+$B$23))/1000-D76</f>
        <v>12.05149154661</v>
      </c>
      <c r="U76" s="15" t="n">
        <f aca="false">IF(G76=1,T76/J76,"")</f>
        <v>1.8</v>
      </c>
      <c r="V76" s="15" t="n">
        <f aca="false">IF(G76=1,($B$29*(1-$B$26)*IF(B76=1,C76,C76*(1+$B$23))/1000-D76)/J76,"")</f>
        <v>1.51918095973563</v>
      </c>
      <c r="W76" s="15" t="n">
        <f aca="false">IF(AND(B76=0,G76=1),U76,99)</f>
        <v>1.8</v>
      </c>
      <c r="X76" s="15" t="n">
        <f aca="false">IF(AND(B76=0,G76=1),V76,99)</f>
        <v>1.51918095973563</v>
      </c>
      <c r="Y76" s="12" t="n">
        <f aca="false">IF(AND(B76=0,G76=1),(J76+D76)/($B$28*C76/1000)-1,-9)</f>
        <v>-0.255562755299408</v>
      </c>
      <c r="Z76" s="12" t="n">
        <f aca="false">IF(AND(B76=0,G76=1),(J76+D76)/($B$29*C76/1000)-1,-9)</f>
        <v>-0.182198961187848</v>
      </c>
      <c r="AA76" s="15" t="n">
        <f aca="false">IF(AND(B76=1,G76=1),U76,99)</f>
        <v>99</v>
      </c>
      <c r="AB76" s="15" t="n">
        <f aca="false">IF(AND(B76=1,G76=1),V76,99)</f>
        <v>99</v>
      </c>
    </row>
    <row r="77" customFormat="false" ht="15" hidden="false" customHeight="false" outlineLevel="0" collapsed="false">
      <c r="A77" s="0" t="n">
        <v>18</v>
      </c>
      <c r="B77" s="0" t="n">
        <f aca="false">IF(A77&lt;=$B$8,1,0)</f>
        <v>0</v>
      </c>
      <c r="C77" s="10" t="n">
        <f aca="false">IF(B77=1,$B$7,$B$9*(1+$B$10)^(A77-$B$8-1)*(1-$B$11))</f>
        <v>47.6159529716894</v>
      </c>
      <c r="D77" s="10" t="n">
        <f aca="false">$B$12*(1+$B$13)^(A77-1)</f>
        <v>9.12970956706246</v>
      </c>
      <c r="E77" s="10" t="n">
        <f aca="false">$B$28*C77/1000-D77</f>
        <v>12.1431935825695</v>
      </c>
      <c r="F77" s="10" t="n">
        <f aca="false">$B$29*C77/1000-D77</f>
        <v>10.2348310191132</v>
      </c>
      <c r="G77" s="10" t="n">
        <f aca="false">IF(A77&lt;=$B$17,1,0)</f>
        <v>1</v>
      </c>
      <c r="H77" s="10" t="n">
        <f aca="false">IF(B77=1,F77/$B$18,E77/$B$19)</f>
        <v>6.74621865698305</v>
      </c>
      <c r="I77" s="10" t="n">
        <f aca="false">G77*H77</f>
        <v>6.74621865698305</v>
      </c>
      <c r="J77" s="10" t="n">
        <f aca="false">I77*$B$37</f>
        <v>6.74621865698305</v>
      </c>
      <c r="K77" s="10" t="n">
        <f aca="false">O77*$B$16*G77</f>
        <v>0.366815671656276</v>
      </c>
      <c r="L77" s="10" t="n">
        <f aca="false">J77-K77</f>
        <v>6.37940298532677</v>
      </c>
      <c r="M77" s="15" t="n">
        <f aca="false">IF(G77=1,E77/J77,"")</f>
        <v>1.8</v>
      </c>
      <c r="N77" s="15" t="n">
        <f aca="false">IF(G77=1,F77/J77,"")</f>
        <v>1.51712115179058</v>
      </c>
      <c r="O77" s="10" t="n">
        <f aca="false">P76</f>
        <v>6.37940298532654</v>
      </c>
      <c r="P77" s="10" t="n">
        <f aca="false">O77-L77</f>
        <v>-2.24709140184132E-013</v>
      </c>
      <c r="Q77" s="10" t="n">
        <f aca="false">F77*G77</f>
        <v>10.2348310191132</v>
      </c>
      <c r="R77" s="10" t="n">
        <f aca="false">E77*G77</f>
        <v>12.1431935825695</v>
      </c>
      <c r="S77" s="10" t="n">
        <f aca="false">IF(A77=$B$24,$B$25,$B$28*(1-$B$26))</f>
        <v>446.76</v>
      </c>
      <c r="T77" s="10" t="n">
        <f aca="false">S77*IF(B77=1,C77,C77*(1+$B$23))/1000-D77</f>
        <v>12.1431935825695</v>
      </c>
      <c r="U77" s="15" t="n">
        <f aca="false">IF(G77=1,T77/J77,"")</f>
        <v>1.8</v>
      </c>
      <c r="V77" s="15" t="n">
        <f aca="false">IF(G77=1,($B$29*(1-$B$26)*IF(B77=1,C77,C77*(1+$B$23))/1000-D77)/J77,"")</f>
        <v>1.51712115179058</v>
      </c>
      <c r="W77" s="15" t="n">
        <f aca="false">IF(AND(B77=0,G77=1),U77,99)</f>
        <v>1.8</v>
      </c>
      <c r="X77" s="15" t="n">
        <f aca="false">IF(AND(B77=0,G77=1),V77,99)</f>
        <v>1.51712115179058</v>
      </c>
      <c r="Y77" s="12" t="n">
        <f aca="false">IF(AND(B77=0,G77=1),(J77+D77)/($B$28*C77/1000)-1,-9)</f>
        <v>-0.253701851958077</v>
      </c>
      <c r="Z77" s="12" t="n">
        <f aca="false">IF(AND(B77=0,G77=1),(J77+D77)/($B$29*C77/1000)-1,-9)</f>
        <v>-0.180154667062987</v>
      </c>
      <c r="AA77" s="15" t="n">
        <f aca="false">IF(AND(B77=1,G77=1),U77,99)</f>
        <v>99</v>
      </c>
      <c r="AB77" s="15" t="n">
        <f aca="false">IF(AND(B77=1,G77=1),V77,99)</f>
        <v>99</v>
      </c>
    </row>
    <row r="78" customFormat="false" ht="15" hidden="false" customHeight="false" outlineLevel="0" collapsed="false">
      <c r="A78" s="0" t="n">
        <v>19</v>
      </c>
      <c r="B78" s="0" t="n">
        <f aca="false">IF(A78&lt;=$B$8,1,0)</f>
        <v>0</v>
      </c>
      <c r="C78" s="10" t="n">
        <f aca="false">IF(B78=1,$B$7,$B$9*(1+$B$10)^(A78-$B$8-1)*(1-$B$11))</f>
        <v>48.3301922662647</v>
      </c>
      <c r="D78" s="10" t="n">
        <f aca="false">$B$12*(1+$B$13)^(A78-1)</f>
        <v>9.35795230623902</v>
      </c>
      <c r="E78" s="10" t="n">
        <f aca="false">$B$28*C78/1000-D78</f>
        <v>12.2340443906374</v>
      </c>
      <c r="F78" s="10" t="n">
        <f aca="false">$B$29*C78/1000-D78</f>
        <v>10.2970563887293</v>
      </c>
      <c r="G78" s="10" t="n">
        <f aca="false">IF(A78&lt;=$B$17,1,0)</f>
        <v>0</v>
      </c>
      <c r="H78" s="10" t="n">
        <f aca="false">IF(B78=1,F78/$B$18,E78/$B$19)</f>
        <v>6.79669132813189</v>
      </c>
      <c r="I78" s="10" t="n">
        <f aca="false">G78*H78</f>
        <v>0</v>
      </c>
      <c r="J78" s="10" t="n">
        <f aca="false">I78*$B$37</f>
        <v>0</v>
      </c>
      <c r="K78" s="10" t="n">
        <f aca="false">O78*$B$16*G78</f>
        <v>-0</v>
      </c>
      <c r="L78" s="10" t="n">
        <f aca="false">J78-K78</f>
        <v>0</v>
      </c>
      <c r="M78" s="15" t="str">
        <f aca="false">IF(G78=1,E78/J78,"")</f>
        <v/>
      </c>
      <c r="N78" s="15" t="str">
        <f aca="false">IF(G78=1,F78/J78,"")</f>
        <v/>
      </c>
      <c r="O78" s="10" t="n">
        <f aca="false">P77</f>
        <v>-2.24709140184132E-013</v>
      </c>
      <c r="P78" s="10" t="n">
        <f aca="false">O78-L78</f>
        <v>-2.24709140184132E-013</v>
      </c>
      <c r="Q78" s="10" t="n">
        <f aca="false">F78*G78</f>
        <v>0</v>
      </c>
      <c r="R78" s="10" t="n">
        <f aca="false">E78*G78</f>
        <v>0</v>
      </c>
      <c r="S78" s="10" t="n">
        <f aca="false">IF(A78=$B$24,$B$25,$B$28*(1-$B$26))</f>
        <v>446.76</v>
      </c>
      <c r="T78" s="10" t="n">
        <f aca="false">S78*IF(B78=1,C78,C78*(1+$B$23))/1000-D78</f>
        <v>12.2340443906374</v>
      </c>
      <c r="U78" s="15" t="str">
        <f aca="false">IF(G78=1,T78/J78,"")</f>
        <v/>
      </c>
      <c r="V78" s="15" t="str">
        <f aca="false">IF(G78=1,($B$29*(1-$B$26)*IF(B78=1,C78,C78*(1+$B$23))/1000-D78)/J78,"")</f>
        <v/>
      </c>
      <c r="W78" s="15" t="n">
        <f aca="false">IF(AND(B78=0,G78=1),U78,99)</f>
        <v>99</v>
      </c>
      <c r="X78" s="15" t="n">
        <f aca="false">IF(AND(B78=0,G78=1),V78,99)</f>
        <v>99</v>
      </c>
      <c r="Y78" s="12" t="n">
        <f aca="false">IF(AND(B78=0,G78=1),(J78+D78)/($B$28*C78/1000)-1,-9)</f>
        <v>-9</v>
      </c>
      <c r="Z78" s="12" t="n">
        <f aca="false">IF(AND(B78=0,G78=1),(J78+D78)/($B$29*C78/1000)-1,-9)</f>
        <v>-9</v>
      </c>
      <c r="AA78" s="15" t="n">
        <f aca="false">IF(AND(B78=1,G78=1),U78,99)</f>
        <v>99</v>
      </c>
      <c r="AB78" s="15" t="n">
        <f aca="false">IF(AND(B78=1,G78=1),V78,99)</f>
        <v>99</v>
      </c>
    </row>
    <row r="79" customFormat="false" ht="15" hidden="false" customHeight="false" outlineLevel="0" collapsed="false">
      <c r="A79" s="0" t="n">
        <v>20</v>
      </c>
      <c r="B79" s="0" t="n">
        <f aca="false">IF(A79&lt;=$B$8,1,0)</f>
        <v>0</v>
      </c>
      <c r="C79" s="10" t="n">
        <f aca="false">IF(B79=1,$B$7,$B$9*(1+$B$10)^(A79-$B$8-1)*(1-$B$11))</f>
        <v>49.0551451502587</v>
      </c>
      <c r="D79" s="10" t="n">
        <f aca="false">$B$12*(1+$B$13)^(A79-1)</f>
        <v>9.59190111389499</v>
      </c>
      <c r="E79" s="10" t="n">
        <f aca="false">$B$28*C79/1000-D79</f>
        <v>12.3239755334346</v>
      </c>
      <c r="F79" s="10" t="n">
        <f aca="false">$B$29*C79/1000-D79</f>
        <v>10.3579327114978</v>
      </c>
      <c r="G79" s="10" t="n">
        <f aca="false">IF(A79&lt;=$B$17,1,0)</f>
        <v>0</v>
      </c>
      <c r="H79" s="10" t="n">
        <f aca="false">IF(B79=1,F79/$B$18,E79/$B$19)</f>
        <v>6.84665307413031</v>
      </c>
      <c r="I79" s="10" t="n">
        <f aca="false">G79*H79</f>
        <v>0</v>
      </c>
      <c r="J79" s="10" t="n">
        <f aca="false">I79*$B$37</f>
        <v>0</v>
      </c>
      <c r="K79" s="10" t="n">
        <f aca="false">O79*$B$16*G79</f>
        <v>-0</v>
      </c>
      <c r="L79" s="10" t="n">
        <f aca="false">J79-K79</f>
        <v>0</v>
      </c>
      <c r="M79" s="15" t="str">
        <f aca="false">IF(G79=1,E79/J79,"")</f>
        <v/>
      </c>
      <c r="N79" s="15" t="str">
        <f aca="false">IF(G79=1,F79/J79,"")</f>
        <v/>
      </c>
      <c r="O79" s="10" t="n">
        <f aca="false">P78</f>
        <v>-2.24709140184132E-013</v>
      </c>
      <c r="P79" s="10" t="n">
        <f aca="false">O79-L79</f>
        <v>-2.24709140184132E-013</v>
      </c>
      <c r="Q79" s="10" t="n">
        <f aca="false">F79*G79</f>
        <v>0</v>
      </c>
      <c r="R79" s="10" t="n">
        <f aca="false">E79*G79</f>
        <v>0</v>
      </c>
      <c r="S79" s="10" t="n">
        <f aca="false">IF(A79=$B$24,$B$25,$B$28*(1-$B$26))</f>
        <v>446.76</v>
      </c>
      <c r="T79" s="10" t="n">
        <f aca="false">S79*IF(B79=1,C79,C79*(1+$B$23))/1000-D79</f>
        <v>12.3239755334346</v>
      </c>
      <c r="U79" s="15" t="str">
        <f aca="false">IF(G79=1,T79/J79,"")</f>
        <v/>
      </c>
      <c r="V79" s="15" t="str">
        <f aca="false">IF(G79=1,($B$29*(1-$B$26)*IF(B79=1,C79,C79*(1+$B$23))/1000-D79)/J79,"")</f>
        <v/>
      </c>
      <c r="W79" s="15" t="n">
        <f aca="false">IF(AND(B79=0,G79=1),U79,99)</f>
        <v>99</v>
      </c>
      <c r="X79" s="15" t="n">
        <f aca="false">IF(AND(B79=0,G79=1),V79,99)</f>
        <v>99</v>
      </c>
      <c r="Y79" s="12" t="n">
        <f aca="false">IF(AND(B79=0,G79=1),(J79+D79)/($B$28*C79/1000)-1,-9)</f>
        <v>-9</v>
      </c>
      <c r="Z79" s="12" t="n">
        <f aca="false">IF(AND(B79=0,G79=1),(J79+D79)/($B$29*C79/1000)-1,-9)</f>
        <v>-9</v>
      </c>
      <c r="AA79" s="15" t="n">
        <f aca="false">IF(AND(B79=1,G79=1),U79,99)</f>
        <v>99</v>
      </c>
      <c r="AB79" s="15" t="n">
        <f aca="false">IF(AND(B79=1,G79=1),V79,99)</f>
        <v>99</v>
      </c>
    </row>
    <row r="80" customFormat="false" ht="15" hidden="false" customHeight="false" outlineLevel="0" collapsed="false">
      <c r="A80" s="0" t="n">
        <v>21</v>
      </c>
      <c r="B80" s="0" t="n">
        <f aca="false">IF(A80&lt;=$B$8,1,0)</f>
        <v>0</v>
      </c>
      <c r="C80" s="10" t="n">
        <f aca="false">IF(B80=1,$B$7,$B$9*(1+$B$10)^(A80-$B$8-1)*(1-$B$11))</f>
        <v>49.7909723275125</v>
      </c>
      <c r="D80" s="10" t="n">
        <f aca="false">$B$12*(1+$B$13)^(A80-1)</f>
        <v>9.83169864174237</v>
      </c>
      <c r="E80" s="10" t="n">
        <f aca="false">$B$28*C80/1000-D80</f>
        <v>12.4129161552971</v>
      </c>
      <c r="F80" s="10" t="n">
        <f aca="false">$B$29*C80/1000-D80</f>
        <v>10.4173826910314</v>
      </c>
      <c r="G80" s="10" t="n">
        <f aca="false">IF(A80&lt;=$B$17,1,0)</f>
        <v>0</v>
      </c>
      <c r="H80" s="10" t="n">
        <f aca="false">IF(B80=1,F80/$B$18,E80/$B$19)</f>
        <v>6.89606453072063</v>
      </c>
      <c r="I80" s="10" t="n">
        <f aca="false">G80*H80</f>
        <v>0</v>
      </c>
      <c r="J80" s="10" t="n">
        <f aca="false">I80*$B$37</f>
        <v>0</v>
      </c>
      <c r="K80" s="10" t="n">
        <f aca="false">O80*$B$16*G80</f>
        <v>-0</v>
      </c>
      <c r="L80" s="10" t="n">
        <f aca="false">J80-K80</f>
        <v>0</v>
      </c>
      <c r="M80" s="15" t="str">
        <f aca="false">IF(G80=1,E80/J80,"")</f>
        <v/>
      </c>
      <c r="N80" s="15" t="str">
        <f aca="false">IF(G80=1,F80/J80,"")</f>
        <v/>
      </c>
      <c r="O80" s="10" t="n">
        <f aca="false">P79</f>
        <v>-2.24709140184132E-013</v>
      </c>
      <c r="P80" s="10" t="n">
        <f aca="false">O80-L80</f>
        <v>-2.24709140184132E-013</v>
      </c>
      <c r="Q80" s="10" t="n">
        <f aca="false">F80*G80</f>
        <v>0</v>
      </c>
      <c r="R80" s="10" t="n">
        <f aca="false">E80*G80</f>
        <v>0</v>
      </c>
      <c r="S80" s="10" t="n">
        <f aca="false">IF(A80=$B$24,$B$25,$B$28*(1-$B$26))</f>
        <v>446.76</v>
      </c>
      <c r="T80" s="10" t="n">
        <f aca="false">S80*IF(B80=1,C80,C80*(1+$B$23))/1000-D80</f>
        <v>12.4129161552971</v>
      </c>
      <c r="U80" s="15" t="str">
        <f aca="false">IF(G80=1,T80/J80,"")</f>
        <v/>
      </c>
      <c r="V80" s="15" t="str">
        <f aca="false">IF(G80=1,($B$29*(1-$B$26)*IF(B80=1,C80,C80*(1+$B$23))/1000-D80)/J80,"")</f>
        <v/>
      </c>
      <c r="W80" s="15" t="n">
        <f aca="false">IF(AND(B80=0,G80=1),U80,99)</f>
        <v>99</v>
      </c>
      <c r="X80" s="15" t="n">
        <f aca="false">IF(AND(B80=0,G80=1),V80,99)</f>
        <v>99</v>
      </c>
      <c r="Y80" s="12" t="n">
        <f aca="false">IF(AND(B80=0,G80=1),(J80+D80)/($B$28*C80/1000)-1,-9)</f>
        <v>-9</v>
      </c>
      <c r="Z80" s="12" t="n">
        <f aca="false">IF(AND(B80=0,G80=1),(J80+D80)/($B$29*C80/1000)-1,-9)</f>
        <v>-9</v>
      </c>
      <c r="AA80" s="15" t="n">
        <f aca="false">IF(AND(B80=1,G80=1),U80,99)</f>
        <v>99</v>
      </c>
      <c r="AB80" s="15" t="n">
        <f aca="false">IF(AND(B80=1,G80=1),V80,99)</f>
        <v>99</v>
      </c>
    </row>
    <row r="81" customFormat="false" ht="15" hidden="false" customHeight="false" outlineLevel="0" collapsed="false">
      <c r="A81" s="0" t="n">
        <v>22</v>
      </c>
      <c r="B81" s="0" t="n">
        <f aca="false">IF(A81&lt;=$B$8,1,0)</f>
        <v>0</v>
      </c>
      <c r="C81" s="10" t="n">
        <f aca="false">IF(B81=1,$B$7,$B$9*(1+$B$10)^(A81-$B$8-1)*(1-$B$11))</f>
        <v>50.5378369124252</v>
      </c>
      <c r="D81" s="10" t="n">
        <f aca="false">$B$12*(1+$B$13)^(A81-1)</f>
        <v>10.0774911077859</v>
      </c>
      <c r="E81" s="10" t="n">
        <f aca="false">$B$28*C81/1000-D81</f>
        <v>12.5007929112092</v>
      </c>
      <c r="F81" s="10" t="n">
        <f aca="false">$B$29*C81/1000-D81</f>
        <v>10.4753264449794</v>
      </c>
      <c r="G81" s="10" t="n">
        <f aca="false">IF(A81&lt;=$B$17,1,0)</f>
        <v>0</v>
      </c>
      <c r="H81" s="10" t="n">
        <f aca="false">IF(B81=1,F81/$B$18,E81/$B$19)</f>
        <v>6.94488495067176</v>
      </c>
      <c r="I81" s="10" t="n">
        <f aca="false">G81*H81</f>
        <v>0</v>
      </c>
      <c r="J81" s="10" t="n">
        <f aca="false">I81*$B$37</f>
        <v>0</v>
      </c>
      <c r="K81" s="10" t="n">
        <f aca="false">O81*$B$16*G81</f>
        <v>-0</v>
      </c>
      <c r="L81" s="10" t="n">
        <f aca="false">J81-K81</f>
        <v>0</v>
      </c>
      <c r="M81" s="15" t="str">
        <f aca="false">IF(G81=1,E81/J81,"")</f>
        <v/>
      </c>
      <c r="N81" s="15" t="str">
        <f aca="false">IF(G81=1,F81/J81,"")</f>
        <v/>
      </c>
      <c r="O81" s="10" t="n">
        <f aca="false">P80</f>
        <v>-2.24709140184132E-013</v>
      </c>
      <c r="P81" s="10" t="n">
        <f aca="false">O81-L81</f>
        <v>-2.24709140184132E-013</v>
      </c>
      <c r="Q81" s="10" t="n">
        <f aca="false">F81*G81</f>
        <v>0</v>
      </c>
      <c r="R81" s="10" t="n">
        <f aca="false">E81*G81</f>
        <v>0</v>
      </c>
      <c r="S81" s="10" t="n">
        <f aca="false">IF(A81=$B$24,$B$25,$B$28*(1-$B$26))</f>
        <v>446.76</v>
      </c>
      <c r="T81" s="10" t="n">
        <f aca="false">S81*IF(B81=1,C81,C81*(1+$B$23))/1000-D81</f>
        <v>12.5007929112092</v>
      </c>
      <c r="U81" s="15" t="str">
        <f aca="false">IF(G81=1,T81/J81,"")</f>
        <v/>
      </c>
      <c r="V81" s="15" t="str">
        <f aca="false">IF(G81=1,($B$29*(1-$B$26)*IF(B81=1,C81,C81*(1+$B$23))/1000-D81)/J81,"")</f>
        <v/>
      </c>
      <c r="W81" s="15" t="n">
        <f aca="false">IF(AND(B81=0,G81=1),U81,99)</f>
        <v>99</v>
      </c>
      <c r="X81" s="15" t="n">
        <f aca="false">IF(AND(B81=0,G81=1),V81,99)</f>
        <v>99</v>
      </c>
      <c r="Y81" s="12" t="n">
        <f aca="false">IF(AND(B81=0,G81=1),(J81+D81)/($B$28*C81/1000)-1,-9)</f>
        <v>-9</v>
      </c>
      <c r="Z81" s="12" t="n">
        <f aca="false">IF(AND(B81=0,G81=1),(J81+D81)/($B$29*C81/1000)-1,-9)</f>
        <v>-9</v>
      </c>
      <c r="AA81" s="15" t="n">
        <f aca="false">IF(AND(B81=1,G81=1),U81,99)</f>
        <v>99</v>
      </c>
      <c r="AB81" s="15" t="n">
        <f aca="false">IF(AND(B81=1,G81=1),V81,99)</f>
        <v>99</v>
      </c>
    </row>
    <row r="82" customFormat="false" ht="15" hidden="false" customHeight="false" outlineLevel="0" collapsed="false">
      <c r="A82" s="0" t="n">
        <v>23</v>
      </c>
      <c r="B82" s="0" t="n">
        <f aca="false">IF(A82&lt;=$B$8,1,0)</f>
        <v>0</v>
      </c>
      <c r="C82" s="10" t="n">
        <f aca="false">IF(B82=1,$B$7,$B$9*(1+$B$10)^(A82-$B$8-1)*(1-$B$11))</f>
        <v>51.2959044661116</v>
      </c>
      <c r="D82" s="10" t="n">
        <f aca="false">$B$12*(1+$B$13)^(A82-1)</f>
        <v>10.3294283854806</v>
      </c>
      <c r="E82" s="10" t="n">
        <f aca="false">$B$28*C82/1000-D82</f>
        <v>12.5875298937994</v>
      </c>
      <c r="F82" s="10" t="n">
        <f aca="false">$B$29*C82/1000-D82</f>
        <v>10.5316814305762</v>
      </c>
      <c r="G82" s="10" t="n">
        <f aca="false">IF(A82&lt;=$B$17,1,0)</f>
        <v>0</v>
      </c>
      <c r="H82" s="10" t="n">
        <f aca="false">IF(B82=1,F82/$B$18,E82/$B$19)</f>
        <v>6.99307216322191</v>
      </c>
      <c r="I82" s="10" t="n">
        <f aca="false">G82*H82</f>
        <v>0</v>
      </c>
      <c r="J82" s="10" t="n">
        <f aca="false">I82*$B$37</f>
        <v>0</v>
      </c>
      <c r="K82" s="10" t="n">
        <f aca="false">O82*$B$16*G82</f>
        <v>-0</v>
      </c>
      <c r="L82" s="10" t="n">
        <f aca="false">J82-K82</f>
        <v>0</v>
      </c>
      <c r="M82" s="15" t="str">
        <f aca="false">IF(G82=1,E82/J82,"")</f>
        <v/>
      </c>
      <c r="N82" s="15" t="str">
        <f aca="false">IF(G82=1,F82/J82,"")</f>
        <v/>
      </c>
      <c r="O82" s="10" t="n">
        <f aca="false">P81</f>
        <v>-2.24709140184132E-013</v>
      </c>
      <c r="P82" s="10" t="n">
        <f aca="false">O82-L82</f>
        <v>-2.24709140184132E-013</v>
      </c>
      <c r="Q82" s="10" t="n">
        <f aca="false">F82*G82</f>
        <v>0</v>
      </c>
      <c r="R82" s="10" t="n">
        <f aca="false">E82*G82</f>
        <v>0</v>
      </c>
      <c r="S82" s="10" t="n">
        <f aca="false">IF(A82=$B$24,$B$25,$B$28*(1-$B$26))</f>
        <v>446.76</v>
      </c>
      <c r="T82" s="10" t="n">
        <f aca="false">S82*IF(B82=1,C82,C82*(1+$B$23))/1000-D82</f>
        <v>12.5875298937994</v>
      </c>
      <c r="U82" s="15" t="str">
        <f aca="false">IF(G82=1,T82/J82,"")</f>
        <v/>
      </c>
      <c r="V82" s="15" t="str">
        <f aca="false">IF(G82=1,($B$29*(1-$B$26)*IF(B82=1,C82,C82*(1+$B$23))/1000-D82)/J82,"")</f>
        <v/>
      </c>
      <c r="W82" s="15" t="n">
        <f aca="false">IF(AND(B82=0,G82=1),U82,99)</f>
        <v>99</v>
      </c>
      <c r="X82" s="15" t="n">
        <f aca="false">IF(AND(B82=0,G82=1),V82,99)</f>
        <v>99</v>
      </c>
      <c r="Y82" s="12" t="n">
        <f aca="false">IF(AND(B82=0,G82=1),(J82+D82)/($B$28*C82/1000)-1,-9)</f>
        <v>-9</v>
      </c>
      <c r="Z82" s="12" t="n">
        <f aca="false">IF(AND(B82=0,G82=1),(J82+D82)/($B$29*C82/1000)-1,-9)</f>
        <v>-9</v>
      </c>
      <c r="AA82" s="15" t="n">
        <f aca="false">IF(AND(B82=1,G82=1),U82,99)</f>
        <v>99</v>
      </c>
      <c r="AB82" s="15" t="n">
        <f aca="false">IF(AND(B82=1,G82=1),V82,99)</f>
        <v>99</v>
      </c>
    </row>
    <row r="83" customFormat="false" ht="15" hidden="false" customHeight="false" outlineLevel="0" collapsed="false">
      <c r="A83" s="0" t="n">
        <v>24</v>
      </c>
      <c r="B83" s="0" t="n">
        <f aca="false">IF(A83&lt;=$B$8,1,0)</f>
        <v>0</v>
      </c>
      <c r="C83" s="10" t="n">
        <f aca="false">IF(B83=1,$B$7,$B$9*(1+$B$10)^(A83-$B$8-1)*(1-$B$11))</f>
        <v>52.0653430331033</v>
      </c>
      <c r="D83" s="10" t="n">
        <f aca="false">$B$12*(1+$B$13)^(A83-1)</f>
        <v>10.5876640951176</v>
      </c>
      <c r="E83" s="10" t="n">
        <f aca="false">$B$28*C83/1000-D83</f>
        <v>12.6730485583516</v>
      </c>
      <c r="F83" s="10" t="n">
        <f aca="false">$B$29*C83/1000-D83</f>
        <v>10.5863623681801</v>
      </c>
      <c r="G83" s="10" t="n">
        <f aca="false">IF(A83&lt;=$B$17,1,0)</f>
        <v>0</v>
      </c>
      <c r="H83" s="10" t="n">
        <f aca="false">IF(B83=1,F83/$B$18,E83/$B$19)</f>
        <v>7.04058253241757</v>
      </c>
      <c r="I83" s="10" t="n">
        <f aca="false">G83*H83</f>
        <v>0</v>
      </c>
      <c r="J83" s="10" t="n">
        <f aca="false">I83*$B$37</f>
        <v>0</v>
      </c>
      <c r="K83" s="10" t="n">
        <f aca="false">O83*$B$16*G83</f>
        <v>-0</v>
      </c>
      <c r="L83" s="10" t="n">
        <f aca="false">J83-K83</f>
        <v>0</v>
      </c>
      <c r="M83" s="15" t="str">
        <f aca="false">IF(G83=1,E83/J83,"")</f>
        <v/>
      </c>
      <c r="N83" s="15" t="str">
        <f aca="false">IF(G83=1,F83/J83,"")</f>
        <v/>
      </c>
      <c r="O83" s="10" t="n">
        <f aca="false">P82</f>
        <v>-2.24709140184132E-013</v>
      </c>
      <c r="P83" s="10" t="n">
        <f aca="false">O83-L83</f>
        <v>-2.24709140184132E-013</v>
      </c>
      <c r="Q83" s="10" t="n">
        <f aca="false">F83*G83</f>
        <v>0</v>
      </c>
      <c r="R83" s="10" t="n">
        <f aca="false">E83*G83</f>
        <v>0</v>
      </c>
      <c r="S83" s="10" t="n">
        <f aca="false">IF(A83=$B$24,$B$25,$B$28*(1-$B$26))</f>
        <v>446.76</v>
      </c>
      <c r="T83" s="10" t="n">
        <f aca="false">S83*IF(B83=1,C83,C83*(1+$B$23))/1000-D83</f>
        <v>12.6730485583516</v>
      </c>
      <c r="U83" s="15" t="str">
        <f aca="false">IF(G83=1,T83/J83,"")</f>
        <v/>
      </c>
      <c r="V83" s="15" t="str">
        <f aca="false">IF(G83=1,($B$29*(1-$B$26)*IF(B83=1,C83,C83*(1+$B$23))/1000-D83)/J83,"")</f>
        <v/>
      </c>
      <c r="W83" s="15" t="n">
        <f aca="false">IF(AND(B83=0,G83=1),U83,99)</f>
        <v>99</v>
      </c>
      <c r="X83" s="15" t="n">
        <f aca="false">IF(AND(B83=0,G83=1),V83,99)</f>
        <v>99</v>
      </c>
      <c r="Y83" s="12" t="n">
        <f aca="false">IF(AND(B83=0,G83=1),(J83+D83)/($B$28*C83/1000)-1,-9)</f>
        <v>-9</v>
      </c>
      <c r="Z83" s="12" t="n">
        <f aca="false">IF(AND(B83=0,G83=1),(J83+D83)/($B$29*C83/1000)-1,-9)</f>
        <v>-9</v>
      </c>
      <c r="AA83" s="15" t="n">
        <f aca="false">IF(AND(B83=1,G83=1),U83,99)</f>
        <v>99</v>
      </c>
      <c r="AB83" s="15" t="n">
        <f aca="false">IF(AND(B83=1,G83=1),V83,99)</f>
        <v>99</v>
      </c>
    </row>
    <row r="84" customFormat="false" ht="15" hidden="false" customHeight="false" outlineLevel="0" collapsed="false">
      <c r="A84" s="0" t="n">
        <v>25</v>
      </c>
      <c r="B84" s="0" t="n">
        <f aca="false">IF(A84&lt;=$B$8,1,0)</f>
        <v>0</v>
      </c>
      <c r="C84" s="10" t="n">
        <f aca="false">IF(B84=1,$B$7,$B$9*(1+$B$10)^(A84-$B$8-1)*(1-$B$11))</f>
        <v>52.8463231785998</v>
      </c>
      <c r="D84" s="10" t="n">
        <f aca="false">$B$12*(1+$B$13)^(A84-1)</f>
        <v>10.8523556974955</v>
      </c>
      <c r="E84" s="10" t="n">
        <f aca="false">$B$28*C84/1000-D84</f>
        <v>12.7572676457757</v>
      </c>
      <c r="F84" s="10" t="n">
        <f aca="false">$B$29*C84/1000-D84</f>
        <v>10.6392811627516</v>
      </c>
      <c r="G84" s="10" t="n">
        <f aca="false">IF(A84&lt;=$B$17,1,0)</f>
        <v>0</v>
      </c>
      <c r="H84" s="10" t="n">
        <f aca="false">IF(B84=1,F84/$B$18,E84/$B$19)</f>
        <v>7.08737091431985</v>
      </c>
      <c r="I84" s="10" t="n">
        <f aca="false">G84*H84</f>
        <v>0</v>
      </c>
      <c r="J84" s="10" t="n">
        <f aca="false">I84*$B$37</f>
        <v>0</v>
      </c>
      <c r="K84" s="10" t="n">
        <f aca="false">O84*$B$16*G84</f>
        <v>-0</v>
      </c>
      <c r="L84" s="10" t="n">
        <f aca="false">J84-K84</f>
        <v>0</v>
      </c>
      <c r="M84" s="15" t="str">
        <f aca="false">IF(G84=1,E84/J84,"")</f>
        <v/>
      </c>
      <c r="N84" s="15" t="str">
        <f aca="false">IF(G84=1,F84/J84,"")</f>
        <v/>
      </c>
      <c r="O84" s="10" t="n">
        <f aca="false">P83</f>
        <v>-2.24709140184132E-013</v>
      </c>
      <c r="P84" s="10" t="n">
        <f aca="false">O84-L84</f>
        <v>-2.24709140184132E-013</v>
      </c>
      <c r="Q84" s="10" t="n">
        <f aca="false">F84*G84</f>
        <v>0</v>
      </c>
      <c r="R84" s="10" t="n">
        <f aca="false">E84*G84</f>
        <v>0</v>
      </c>
      <c r="S84" s="10" t="n">
        <f aca="false">IF(A84=$B$24,$B$25,$B$28*(1-$B$26))</f>
        <v>446.76</v>
      </c>
      <c r="T84" s="10" t="n">
        <f aca="false">S84*IF(B84=1,C84,C84*(1+$B$23))/1000-D84</f>
        <v>12.7572676457757</v>
      </c>
      <c r="U84" s="15" t="str">
        <f aca="false">IF(G84=1,T84/J84,"")</f>
        <v/>
      </c>
      <c r="V84" s="15" t="str">
        <f aca="false">IF(G84=1,($B$29*(1-$B$26)*IF(B84=1,C84,C84*(1+$B$23))/1000-D84)/J84,"")</f>
        <v/>
      </c>
      <c r="W84" s="15" t="n">
        <f aca="false">IF(AND(B84=0,G84=1),U84,99)</f>
        <v>99</v>
      </c>
      <c r="X84" s="15" t="n">
        <f aca="false">IF(AND(B84=0,G84=1),V84,99)</f>
        <v>99</v>
      </c>
      <c r="Y84" s="12" t="n">
        <f aca="false">IF(AND(B84=0,G84=1),(J84+D84)/($B$28*C84/1000)-1,-9)</f>
        <v>-9</v>
      </c>
      <c r="Z84" s="12" t="n">
        <f aca="false">IF(AND(B84=0,G84=1),(J84+D84)/($B$29*C84/1000)-1,-9)</f>
        <v>-9</v>
      </c>
      <c r="AA84" s="15" t="n">
        <f aca="false">IF(AND(B84=1,G84=1),U84,99)</f>
        <v>99</v>
      </c>
      <c r="AB84" s="15" t="n">
        <f aca="false">IF(AND(B84=1,G84=1),V84,99)</f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6.15" hidden="false" customHeight="false" outlineLevel="0" collapsed="false">
      <c r="A1" s="2" t="s">
        <v>175</v>
      </c>
    </row>
    <row r="2" customFormat="false" ht="15" hidden="false" customHeight="false" outlineLevel="0" collapsed="false">
      <c r="A2" s="3" t="s">
        <v>176</v>
      </c>
    </row>
    <row r="3" customFormat="false" ht="15" hidden="false" customHeight="false" outlineLevel="0" collapsed="false">
      <c r="A3" s="0" t="s">
        <v>177</v>
      </c>
      <c r="B3" s="4" t="n">
        <v>60</v>
      </c>
    </row>
    <row r="4" customFormat="false" ht="15" hidden="false" customHeight="false" outlineLevel="0" collapsed="false">
      <c r="A4" s="0" t="s">
        <v>178</v>
      </c>
      <c r="B4" s="5" t="n">
        <v>0.025</v>
      </c>
    </row>
    <row r="5" customFormat="false" ht="15" hidden="false" customHeight="false" outlineLevel="0" collapsed="false">
      <c r="A5" s="0" t="s">
        <v>179</v>
      </c>
      <c r="B5" s="4" t="n">
        <v>6</v>
      </c>
    </row>
    <row r="6" customFormat="false" ht="15" hidden="false" customHeight="false" outlineLevel="0" collapsed="false">
      <c r="A6" s="0" t="s">
        <v>180</v>
      </c>
      <c r="B6" s="5" t="n">
        <v>0.025</v>
      </c>
    </row>
    <row r="7" customFormat="false" ht="15" hidden="false" customHeight="false" outlineLevel="0" collapsed="false">
      <c r="A7" s="0" t="s">
        <v>181</v>
      </c>
      <c r="B7" s="4" t="n">
        <v>400</v>
      </c>
    </row>
    <row r="8" customFormat="false" ht="15" hidden="false" customHeight="false" outlineLevel="0" collapsed="false">
      <c r="A8" s="0" t="s">
        <v>182</v>
      </c>
      <c r="B8" s="5" t="n">
        <v>0.05</v>
      </c>
    </row>
    <row r="9" customFormat="false" ht="15" hidden="false" customHeight="false" outlineLevel="0" collapsed="false">
      <c r="A9" s="0" t="s">
        <v>183</v>
      </c>
      <c r="B9" s="6" t="n">
        <v>20</v>
      </c>
    </row>
    <row r="10" customFormat="false" ht="15" hidden="false" customHeight="false" outlineLevel="0" collapsed="false">
      <c r="A10" s="0" t="s">
        <v>184</v>
      </c>
      <c r="B10" s="7" t="n">
        <v>1.15</v>
      </c>
    </row>
    <row r="11" customFormat="false" ht="15" hidden="false" customHeight="false" outlineLevel="0" collapsed="false">
      <c r="A11" s="0" t="s">
        <v>185</v>
      </c>
      <c r="B11" s="7" t="n">
        <v>1.05</v>
      </c>
    </row>
    <row r="12" customFormat="false" ht="15" hidden="false" customHeight="false" outlineLevel="0" collapsed="false">
      <c r="A12" s="0" t="s">
        <v>186</v>
      </c>
      <c r="B12" s="4" t="n">
        <v>150</v>
      </c>
    </row>
    <row r="13" customFormat="false" ht="15" hidden="false" customHeight="false" outlineLevel="0" collapsed="false">
      <c r="A13" s="0" t="s">
        <v>187</v>
      </c>
      <c r="B13" s="5" t="n">
        <v>0.08</v>
      </c>
    </row>
    <row r="14" customFormat="false" ht="15" hidden="false" customHeight="false" outlineLevel="0" collapsed="false">
      <c r="A14" s="0" t="s">
        <v>188</v>
      </c>
      <c r="B14" s="5" t="n">
        <v>0.01</v>
      </c>
    </row>
    <row r="15" customFormat="false" ht="15" hidden="false" customHeight="false" outlineLevel="0" collapsed="false">
      <c r="A15" s="0" t="s">
        <v>189</v>
      </c>
      <c r="B15" s="6" t="n">
        <v>12</v>
      </c>
    </row>
    <row r="16" customFormat="false" ht="15" hidden="false" customHeight="false" outlineLevel="0" collapsed="false">
      <c r="A16" s="0" t="s">
        <v>190</v>
      </c>
      <c r="B16" s="7" t="n">
        <v>1.5</v>
      </c>
    </row>
    <row r="17" customFormat="false" ht="15" hidden="false" customHeight="false" outlineLevel="0" collapsed="false">
      <c r="A17" s="0" t="s">
        <v>191</v>
      </c>
      <c r="B17" s="7" t="n">
        <v>1.6</v>
      </c>
    </row>
    <row r="18" customFormat="false" ht="15" hidden="false" customHeight="false" outlineLevel="0" collapsed="false">
      <c r="A18" s="0" t="s">
        <v>192</v>
      </c>
      <c r="B18" s="5" t="n">
        <v>0.09</v>
      </c>
    </row>
    <row r="20" customFormat="false" ht="15" hidden="false" customHeight="false" outlineLevel="0" collapsed="false">
      <c r="A20" s="3" t="s">
        <v>193</v>
      </c>
    </row>
    <row r="21" customFormat="false" ht="15" hidden="false" customHeight="false" outlineLevel="0" collapsed="false">
      <c r="A21" s="0" t="s">
        <v>194</v>
      </c>
      <c r="B21" s="20" t="n">
        <v>1</v>
      </c>
    </row>
    <row r="22" customFormat="false" ht="15" hidden="false" customHeight="false" outlineLevel="0" collapsed="false">
      <c r="A22" s="0" t="s">
        <v>195</v>
      </c>
      <c r="B22" s="6" t="n">
        <v>3</v>
      </c>
    </row>
    <row r="23" customFormat="false" ht="15" hidden="false" customHeight="false" outlineLevel="0" collapsed="false">
      <c r="A23" s="0" t="s">
        <v>196</v>
      </c>
      <c r="B23" s="6" t="n">
        <v>0</v>
      </c>
    </row>
    <row r="25" customFormat="false" ht="15" hidden="false" customHeight="false" outlineLevel="0" collapsed="false">
      <c r="A25" s="3" t="s">
        <v>45</v>
      </c>
    </row>
    <row r="26" customFormat="false" ht="15" hidden="false" customHeight="false" outlineLevel="0" collapsed="false">
      <c r="A26" s="9" t="s">
        <v>197</v>
      </c>
      <c r="B26" s="10" t="n">
        <f aca="false">PMT($B$8,$B$9,-$B$7)</f>
        <v>32.0970348762765</v>
      </c>
    </row>
    <row r="27" customFormat="false" ht="15" hidden="false" customHeight="false" outlineLevel="0" collapsed="false">
      <c r="A27" s="9" t="s">
        <v>198</v>
      </c>
      <c r="B27" s="15" t="n">
        <f aca="false">F60</f>
        <v>1.6823983962429</v>
      </c>
    </row>
    <row r="28" customFormat="false" ht="15" hidden="false" customHeight="false" outlineLevel="0" collapsed="false">
      <c r="A28" s="9" t="s">
        <v>199</v>
      </c>
      <c r="B28" s="15" t="n">
        <f aca="false">E45</f>
        <v>1.82524709364362</v>
      </c>
    </row>
    <row r="29" customFormat="false" ht="15" hidden="false" customHeight="false" outlineLevel="0" collapsed="false">
      <c r="A29" s="9" t="s">
        <v>200</v>
      </c>
      <c r="B29" s="10" t="n">
        <f aca="false">$B$12*$B$13*$B$15/12</f>
        <v>12</v>
      </c>
    </row>
    <row r="30" customFormat="false" ht="15" hidden="false" customHeight="false" outlineLevel="0" collapsed="false">
      <c r="A30" s="9" t="s">
        <v>201</v>
      </c>
      <c r="B30" s="10" t="n">
        <f aca="false">NPV($B$18,G60:G89)</f>
        <v>406.428646932739</v>
      </c>
    </row>
    <row r="31" customFormat="false" ht="15" hidden="false" customHeight="false" outlineLevel="0" collapsed="false">
      <c r="A31" s="9" t="s">
        <v>202</v>
      </c>
      <c r="B31" s="14" t="n">
        <f aca="false">$B$12/$B$30</f>
        <v>0.369068472736922</v>
      </c>
    </row>
    <row r="32" customFormat="false" ht="15" hidden="false" customHeight="false" outlineLevel="0" collapsed="false">
      <c r="A32" s="9" t="s">
        <v>203</v>
      </c>
      <c r="B32" s="10" t="n">
        <f aca="false">L51</f>
        <v>141</v>
      </c>
    </row>
    <row r="33" customFormat="false" ht="15" hidden="false" customHeight="false" outlineLevel="0" collapsed="false">
      <c r="A33" s="9" t="s">
        <v>204</v>
      </c>
      <c r="B33" s="10" t="n">
        <f aca="false">SUM(K45:K51)</f>
        <v>0</v>
      </c>
    </row>
    <row r="34" customFormat="false" ht="15" hidden="false" customHeight="false" outlineLevel="0" collapsed="false">
      <c r="A34" s="9" t="s">
        <v>205</v>
      </c>
      <c r="B34" s="10" t="n">
        <f aca="false">NPV($B$18,G67:G89)</f>
        <v>507.119034062147</v>
      </c>
    </row>
    <row r="35" customFormat="false" ht="15" hidden="false" customHeight="false" outlineLevel="0" collapsed="false">
      <c r="A35" s="9" t="s">
        <v>206</v>
      </c>
      <c r="B35" s="14" t="n">
        <f aca="false">$B$32/$B$34</f>
        <v>0.278041230025534</v>
      </c>
    </row>
    <row r="36" customFormat="false" ht="15" hidden="false" customHeight="false" outlineLevel="0" collapsed="false">
      <c r="A36" s="9" t="s">
        <v>207</v>
      </c>
      <c r="B36" s="21" t="n">
        <f aca="false">MIN(1,$B$34/($B$32+$B$33))</f>
        <v>1</v>
      </c>
    </row>
    <row r="37" customFormat="false" ht="15" hidden="false" customHeight="false" outlineLevel="0" collapsed="false">
      <c r="A37" s="9" t="s">
        <v>208</v>
      </c>
      <c r="B37" s="14" t="n">
        <f aca="false">1-($B$26+$B$17*$B$12*$B$13+$B$5)/$B$3</f>
        <v>0.0450494187287246</v>
      </c>
    </row>
    <row r="38" customFormat="false" ht="15" hidden="false" customHeight="false" outlineLevel="0" collapsed="false">
      <c r="A38" s="9" t="s">
        <v>209</v>
      </c>
      <c r="B38" s="14" t="n">
        <f aca="false">1-($B$26+$B$16*$B$12*$B$13+$B$5)/$B$3</f>
        <v>0.0650494187287246</v>
      </c>
    </row>
    <row r="39" customFormat="false" ht="15" hidden="false" customHeight="false" outlineLevel="0" collapsed="false">
      <c r="A39" s="9" t="s">
        <v>210</v>
      </c>
      <c r="B39" s="14" t="n">
        <f aca="false">1-($B$26+$B$12*$B$13+$B$5)/$B$3</f>
        <v>0.165049418728725</v>
      </c>
    </row>
    <row r="40" customFormat="false" ht="15" hidden="false" customHeight="false" outlineLevel="0" collapsed="false">
      <c r="A40" s="9" t="s">
        <v>211</v>
      </c>
      <c r="B40" s="14" t="n">
        <f aca="false">1-($B$10*$B$26+$B$5)/$B$3</f>
        <v>0.284806831538033</v>
      </c>
    </row>
    <row r="41" customFormat="false" ht="15" hidden="false" customHeight="false" outlineLevel="0" collapsed="false">
      <c r="A41" s="9" t="s">
        <v>212</v>
      </c>
      <c r="B41" s="14" t="n">
        <f aca="false">1-($B$11*$B$26+$B$5)/$B$3</f>
        <v>0.338301889665161</v>
      </c>
    </row>
    <row r="42" customFormat="false" ht="15" hidden="false" customHeight="false" outlineLevel="0" collapsed="false">
      <c r="A42" s="9" t="s">
        <v>213</v>
      </c>
      <c r="B42" s="10" t="n">
        <f aca="false">G60/1.75/$B$13</f>
        <v>156.449750883739</v>
      </c>
    </row>
    <row r="43" customFormat="false" ht="15" hidden="false" customHeight="false" outlineLevel="0" collapsed="false">
      <c r="A43" s="9" t="s">
        <v>214</v>
      </c>
      <c r="B43" s="10" t="n">
        <f aca="false">G60/2/$B$13</f>
        <v>136.893532023272</v>
      </c>
    </row>
    <row r="44" customFormat="false" ht="41.75" hidden="false" customHeight="false" outlineLevel="0" collapsed="false">
      <c r="A44" s="16" t="s">
        <v>215</v>
      </c>
      <c r="B44" s="16" t="s">
        <v>216</v>
      </c>
      <c r="C44" s="16" t="s">
        <v>73</v>
      </c>
      <c r="D44" s="16" t="s">
        <v>217</v>
      </c>
      <c r="E44" s="16" t="s">
        <v>218</v>
      </c>
      <c r="F44" s="16" t="s">
        <v>219</v>
      </c>
      <c r="G44" s="16" t="s">
        <v>220</v>
      </c>
      <c r="H44" s="16" t="s">
        <v>221</v>
      </c>
      <c r="I44" s="16" t="s">
        <v>222</v>
      </c>
      <c r="J44" s="16" t="s">
        <v>223</v>
      </c>
      <c r="K44" s="16" t="s">
        <v>224</v>
      </c>
      <c r="L44" s="16" t="s">
        <v>225</v>
      </c>
    </row>
    <row r="45" customFormat="false" ht="15" hidden="false" customHeight="false" outlineLevel="0" collapsed="false">
      <c r="A45" s="0" t="n">
        <v>1</v>
      </c>
      <c r="B45" s="10" t="n">
        <f aca="false">$B$12</f>
        <v>150</v>
      </c>
      <c r="C45" s="10" t="n">
        <f aca="false">B45*$B$13</f>
        <v>12</v>
      </c>
      <c r="D45" s="10" t="n">
        <f aca="false">G60</f>
        <v>21.9029651237235</v>
      </c>
      <c r="E45" s="15" t="n">
        <f aca="false">D45/C45</f>
        <v>1.82524709364362</v>
      </c>
      <c r="F45" s="10" t="n">
        <f aca="false">MIN(C45,D45)</f>
        <v>12</v>
      </c>
      <c r="G45" s="10" t="n">
        <f aca="false">IF($B$23=1,0,MIN(C45-F45,$B$29))</f>
        <v>0</v>
      </c>
      <c r="H45" s="10" t="n">
        <f aca="false">$B$29-G45</f>
        <v>12</v>
      </c>
      <c r="I45" s="10" t="n">
        <f aca="false">IF($B$23=1,C45-F45,0)</f>
        <v>0</v>
      </c>
      <c r="J45" s="10" t="n">
        <f aca="false">MIN($B$12*$B$14,D45-F45)</f>
        <v>1.5</v>
      </c>
      <c r="K45" s="10" t="n">
        <f aca="false">C45-F45-G45-I45</f>
        <v>0</v>
      </c>
      <c r="L45" s="10" t="n">
        <f aca="false">B45-J45+I45</f>
        <v>148.5</v>
      </c>
    </row>
    <row r="46" customFormat="false" ht="15" hidden="false" customHeight="false" outlineLevel="0" collapsed="false">
      <c r="A46" s="0" t="n">
        <v>2</v>
      </c>
      <c r="B46" s="10" t="n">
        <f aca="false">L45</f>
        <v>148.5</v>
      </c>
      <c r="C46" s="10" t="n">
        <f aca="false">B46*$B$13</f>
        <v>11.88</v>
      </c>
      <c r="D46" s="10" t="n">
        <f aca="false">G61</f>
        <v>23.2529651237235</v>
      </c>
      <c r="E46" s="15" t="n">
        <f aca="false">D46/C46</f>
        <v>1.95732029660972</v>
      </c>
      <c r="F46" s="10" t="n">
        <f aca="false">MIN(C46,D46)</f>
        <v>11.88</v>
      </c>
      <c r="G46" s="10" t="n">
        <f aca="false">IF($B$23=1,0,MIN(C46-F46,H45))</f>
        <v>0</v>
      </c>
      <c r="H46" s="10" t="n">
        <f aca="false">H45-G46</f>
        <v>12</v>
      </c>
      <c r="I46" s="10" t="n">
        <f aca="false">IF($B$23=1,C46-F46,0)</f>
        <v>0</v>
      </c>
      <c r="J46" s="10" t="n">
        <f aca="false">MIN($B$12*$B$14,D46-F46)</f>
        <v>1.5</v>
      </c>
      <c r="K46" s="10" t="n">
        <f aca="false">C46-F46-G46-I46</f>
        <v>0</v>
      </c>
      <c r="L46" s="10" t="n">
        <f aca="false">B46-J46+I46</f>
        <v>147</v>
      </c>
    </row>
    <row r="47" customFormat="false" ht="15" hidden="false" customHeight="false" outlineLevel="0" collapsed="false">
      <c r="A47" s="0" t="n">
        <v>3</v>
      </c>
      <c r="B47" s="10" t="n">
        <f aca="false">L46</f>
        <v>147</v>
      </c>
      <c r="C47" s="10" t="n">
        <f aca="false">B47*$B$13</f>
        <v>11.76</v>
      </c>
      <c r="D47" s="10" t="n">
        <f aca="false">G62</f>
        <v>24.6367151237235</v>
      </c>
      <c r="E47" s="15" t="n">
        <f aca="false">D47/C47</f>
        <v>2.0949587690241</v>
      </c>
      <c r="F47" s="10" t="n">
        <f aca="false">MIN(C47,D47)</f>
        <v>11.76</v>
      </c>
      <c r="G47" s="10" t="n">
        <f aca="false">IF($B$23=1,0,MIN(C47-F47,H46))</f>
        <v>0</v>
      </c>
      <c r="H47" s="10" t="n">
        <f aca="false">H46-G47</f>
        <v>12</v>
      </c>
      <c r="I47" s="10" t="n">
        <f aca="false">IF($B$23=1,C47-F47,0)</f>
        <v>0</v>
      </c>
      <c r="J47" s="10" t="n">
        <f aca="false">MIN($B$12*$B$14,D47-F47)</f>
        <v>1.5</v>
      </c>
      <c r="K47" s="10" t="n">
        <f aca="false">C47-F47-G47-I47</f>
        <v>0</v>
      </c>
      <c r="L47" s="10" t="n">
        <f aca="false">B47-J47+I47</f>
        <v>145.5</v>
      </c>
    </row>
    <row r="48" customFormat="false" ht="15" hidden="false" customHeight="false" outlineLevel="0" collapsed="false">
      <c r="A48" s="0" t="n">
        <v>4</v>
      </c>
      <c r="B48" s="10" t="n">
        <f aca="false">L47</f>
        <v>145.5</v>
      </c>
      <c r="C48" s="10" t="n">
        <f aca="false">B48*$B$13</f>
        <v>11.64</v>
      </c>
      <c r="D48" s="10" t="n">
        <f aca="false">G63</f>
        <v>26.0550588737235</v>
      </c>
      <c r="E48" s="15" t="n">
        <f aca="false">D48/C48</f>
        <v>2.23840711973569</v>
      </c>
      <c r="F48" s="10" t="n">
        <f aca="false">MIN(C48,D48)</f>
        <v>11.64</v>
      </c>
      <c r="G48" s="10" t="n">
        <f aca="false">IF($B$23=1,0,MIN(C48-F48,H47))</f>
        <v>0</v>
      </c>
      <c r="H48" s="10" t="n">
        <f aca="false">H47-G48</f>
        <v>12</v>
      </c>
      <c r="I48" s="10" t="n">
        <f aca="false">IF($B$23=1,C48-F48,0)</f>
        <v>0</v>
      </c>
      <c r="J48" s="10" t="n">
        <f aca="false">MIN($B$12*$B$14,D48-F48)</f>
        <v>1.5</v>
      </c>
      <c r="K48" s="10" t="n">
        <f aca="false">C48-F48-G48-I48</f>
        <v>0</v>
      </c>
      <c r="L48" s="10" t="n">
        <f aca="false">B48-J48+I48</f>
        <v>144</v>
      </c>
    </row>
    <row r="49" customFormat="false" ht="15" hidden="false" customHeight="false" outlineLevel="0" collapsed="false">
      <c r="A49" s="0" t="n">
        <v>5</v>
      </c>
      <c r="B49" s="10" t="n">
        <f aca="false">L48</f>
        <v>144</v>
      </c>
      <c r="C49" s="10" t="n">
        <f aca="false">B49*$B$13</f>
        <v>11.52</v>
      </c>
      <c r="D49" s="10" t="n">
        <f aca="false">G64</f>
        <v>27.5088612174734</v>
      </c>
      <c r="E49" s="15" t="n">
        <f aca="false">D49/C49</f>
        <v>2.38792198068346</v>
      </c>
      <c r="F49" s="10" t="n">
        <f aca="false">MIN(C49,D49)</f>
        <v>11.52</v>
      </c>
      <c r="G49" s="10" t="n">
        <f aca="false">IF($B$23=1,0,MIN(C49-F49,H48))</f>
        <v>0</v>
      </c>
      <c r="H49" s="10" t="n">
        <f aca="false">H48-G49</f>
        <v>12</v>
      </c>
      <c r="I49" s="10" t="n">
        <f aca="false">IF($B$23=1,C49-F49,0)</f>
        <v>0</v>
      </c>
      <c r="J49" s="10" t="n">
        <f aca="false">MIN($B$12*$B$14,D49-F49)</f>
        <v>1.5</v>
      </c>
      <c r="K49" s="10" t="n">
        <f aca="false">C49-F49-G49-I49</f>
        <v>0</v>
      </c>
      <c r="L49" s="10" t="n">
        <f aca="false">B49-J49+I49</f>
        <v>142.5</v>
      </c>
    </row>
    <row r="50" customFormat="false" ht="15" hidden="false" customHeight="false" outlineLevel="0" collapsed="false">
      <c r="A50" s="0" t="n">
        <v>6</v>
      </c>
      <c r="B50" s="10" t="n">
        <f aca="false">L49</f>
        <v>142.5</v>
      </c>
      <c r="C50" s="10" t="n">
        <f aca="false">B50*$B$13</f>
        <v>11.4</v>
      </c>
      <c r="D50" s="10" t="n">
        <f aca="false">G65</f>
        <v>28.9990086198172</v>
      </c>
      <c r="E50" s="15" t="n">
        <f aca="false">D50/C50</f>
        <v>2.54377268594888</v>
      </c>
      <c r="F50" s="10" t="n">
        <f aca="false">MIN(C50,D50)</f>
        <v>11.4</v>
      </c>
      <c r="G50" s="10" t="n">
        <f aca="false">IF($B$23=1,0,MIN(C50-F50,H49))</f>
        <v>0</v>
      </c>
      <c r="H50" s="10" t="n">
        <f aca="false">H49-G50</f>
        <v>12</v>
      </c>
      <c r="I50" s="10" t="n">
        <f aca="false">IF($B$23=1,C50-F50,0)</f>
        <v>0</v>
      </c>
      <c r="J50" s="10" t="n">
        <f aca="false">MIN($B$12*$B$14,D50-F50)</f>
        <v>1.5</v>
      </c>
      <c r="K50" s="10" t="n">
        <f aca="false">C50-F50-G50-I50</f>
        <v>0</v>
      </c>
      <c r="L50" s="10" t="n">
        <f aca="false">B50-J50+I50</f>
        <v>141</v>
      </c>
    </row>
    <row r="51" customFormat="false" ht="15" hidden="false" customHeight="false" outlineLevel="0" collapsed="false">
      <c r="A51" s="0" t="n">
        <v>7</v>
      </c>
      <c r="B51" s="10" t="n">
        <f aca="false">L50</f>
        <v>141</v>
      </c>
      <c r="C51" s="10" t="n">
        <f aca="false">B51*$B$13</f>
        <v>11.28</v>
      </c>
      <c r="D51" s="10" t="n">
        <f aca="false">G66</f>
        <v>30.5264097072195</v>
      </c>
      <c r="E51" s="15" t="n">
        <f aca="false">D51/C51</f>
        <v>2.70624199532088</v>
      </c>
      <c r="F51" s="10" t="n">
        <f aca="false">MIN(C51,D51)</f>
        <v>11.28</v>
      </c>
      <c r="G51" s="10" t="n">
        <f aca="false">IF($B$23=1,0,MIN(C51-F51,H50))</f>
        <v>0</v>
      </c>
      <c r="H51" s="10" t="n">
        <f aca="false">H50-G51</f>
        <v>12</v>
      </c>
      <c r="I51" s="10" t="n">
        <f aca="false">IF($B$23=1,C51-F51,0)</f>
        <v>0</v>
      </c>
      <c r="J51" s="10" t="n">
        <f aca="false">0</f>
        <v>0</v>
      </c>
      <c r="K51" s="10" t="n">
        <f aca="false">C51-F51-G51-I51</f>
        <v>0</v>
      </c>
      <c r="L51" s="10" t="n">
        <f aca="false">B51-J51+I51</f>
        <v>141</v>
      </c>
    </row>
    <row r="59" customFormat="false" ht="28.35" hidden="false" customHeight="false" outlineLevel="0" collapsed="false">
      <c r="A59" s="16" t="s">
        <v>226</v>
      </c>
      <c r="B59" s="16" t="s">
        <v>227</v>
      </c>
      <c r="C59" s="16" t="s">
        <v>228</v>
      </c>
      <c r="D59" s="16" t="s">
        <v>229</v>
      </c>
      <c r="E59" s="16" t="s">
        <v>72</v>
      </c>
      <c r="F59" s="16" t="s">
        <v>230</v>
      </c>
      <c r="G59" s="16" t="s">
        <v>217</v>
      </c>
    </row>
    <row r="60" customFormat="false" ht="15" hidden="false" customHeight="false" outlineLevel="0" collapsed="false">
      <c r="A60" s="0" t="n">
        <v>1</v>
      </c>
      <c r="B60" s="10" t="n">
        <f aca="false">$B$3*(1+$B$4)^(A60-1)*IF(A60&gt;=$B$22,$B$21,1)</f>
        <v>60</v>
      </c>
      <c r="C60" s="10" t="n">
        <f aca="false">$B$5*(1+$B$6)^(A60-1)</f>
        <v>6</v>
      </c>
      <c r="D60" s="10" t="n">
        <f aca="false">B60-C60</f>
        <v>54</v>
      </c>
      <c r="E60" s="10" t="n">
        <f aca="false">IF(A60&lt;=$B$9,$B$26,0)</f>
        <v>32.0970348762765</v>
      </c>
      <c r="F60" s="15" t="n">
        <f aca="false">IF(E60&gt;0,D60/E60,"")</f>
        <v>1.6823983962429</v>
      </c>
      <c r="G60" s="10" t="n">
        <f aca="false">MAX(0,IF(E60=0,D60,IF(F60&gt;=$B$10,D60-E60,0)))</f>
        <v>21.9029651237235</v>
      </c>
    </row>
    <row r="61" customFormat="false" ht="15" hidden="false" customHeight="false" outlineLevel="0" collapsed="false">
      <c r="A61" s="0" t="n">
        <v>2</v>
      </c>
      <c r="B61" s="10" t="n">
        <f aca="false">$B$3*(1+$B$4)^(A61-1)*IF(A61&gt;=$B$22,$B$21,1)</f>
        <v>61.5</v>
      </c>
      <c r="C61" s="10" t="n">
        <f aca="false">$B$5*(1+$B$6)^(A61-1)</f>
        <v>6.15</v>
      </c>
      <c r="D61" s="10" t="n">
        <f aca="false">B61-C61</f>
        <v>55.35</v>
      </c>
      <c r="E61" s="10" t="n">
        <f aca="false">IF(A61&lt;=$B$9,$B$26,0)</f>
        <v>32.0970348762765</v>
      </c>
      <c r="F61" s="15" t="n">
        <f aca="false">IF(E61&gt;0,D61/E61,"")</f>
        <v>1.72445835614897</v>
      </c>
      <c r="G61" s="10" t="n">
        <f aca="false">MAX(0,IF(E61=0,D61,IF(F61&gt;=$B$10,D61-E61,0)))</f>
        <v>23.2529651237235</v>
      </c>
    </row>
    <row r="62" customFormat="false" ht="15" hidden="false" customHeight="false" outlineLevel="0" collapsed="false">
      <c r="A62" s="0" t="n">
        <v>3</v>
      </c>
      <c r="B62" s="10" t="n">
        <f aca="false">$B$3*(1+$B$4)^(A62-1)*IF(A62&gt;=$B$22,$B$21,1)</f>
        <v>63.0375</v>
      </c>
      <c r="C62" s="10" t="n">
        <f aca="false">$B$5*(1+$B$6)^(A62-1)</f>
        <v>6.30375</v>
      </c>
      <c r="D62" s="10" t="n">
        <f aca="false">B62-C62</f>
        <v>56.73375</v>
      </c>
      <c r="E62" s="10" t="n">
        <f aca="false">IF(A62&lt;=$B$9,$B$26,0)</f>
        <v>32.0970348762765</v>
      </c>
      <c r="F62" s="15" t="n">
        <f aca="false">IF(E62&gt;0,D62/E62,"")</f>
        <v>1.76756981505269</v>
      </c>
      <c r="G62" s="10" t="n">
        <f aca="false">MAX(0,IF(E62=0,D62,IF(F62&gt;=$B$10,D62-E62,0)))</f>
        <v>24.6367151237235</v>
      </c>
    </row>
    <row r="63" customFormat="false" ht="15" hidden="false" customHeight="false" outlineLevel="0" collapsed="false">
      <c r="A63" s="0" t="n">
        <v>4</v>
      </c>
      <c r="B63" s="10" t="n">
        <f aca="false">$B$3*(1+$B$4)^(A63-1)*IF(A63&gt;=$B$22,$B$21,1)</f>
        <v>64.6134375</v>
      </c>
      <c r="C63" s="10" t="n">
        <f aca="false">$B$5*(1+$B$6)^(A63-1)</f>
        <v>6.46134375</v>
      </c>
      <c r="D63" s="10" t="n">
        <f aca="false">B63-C63</f>
        <v>58.15209375</v>
      </c>
      <c r="E63" s="10" t="n">
        <f aca="false">IF(A63&lt;=$B$9,$B$26,0)</f>
        <v>32.0970348762765</v>
      </c>
      <c r="F63" s="15" t="n">
        <f aca="false">IF(E63&gt;0,D63/E63,"")</f>
        <v>1.81175906042901</v>
      </c>
      <c r="G63" s="10" t="n">
        <f aca="false">MAX(0,IF(E63=0,D63,IF(F63&gt;=$B$10,D63-E63,0)))</f>
        <v>26.0550588737235</v>
      </c>
    </row>
    <row r="64" customFormat="false" ht="15" hidden="false" customHeight="false" outlineLevel="0" collapsed="false">
      <c r="A64" s="0" t="n">
        <v>5</v>
      </c>
      <c r="B64" s="10" t="n">
        <f aca="false">$B$3*(1+$B$4)^(A64-1)*IF(A64&gt;=$B$22,$B$21,1)</f>
        <v>66.2287734375</v>
      </c>
      <c r="C64" s="10" t="n">
        <f aca="false">$B$5*(1+$B$6)^(A64-1)</f>
        <v>6.62287734375</v>
      </c>
      <c r="D64" s="10" t="n">
        <f aca="false">B64-C64</f>
        <v>59.60589609375</v>
      </c>
      <c r="E64" s="10" t="n">
        <f aca="false">IF(A64&lt;=$B$9,$B$26,0)</f>
        <v>32.0970348762765</v>
      </c>
      <c r="F64" s="15" t="n">
        <f aca="false">IF(E64&gt;0,D64/E64,"")</f>
        <v>1.85705303693974</v>
      </c>
      <c r="G64" s="10" t="n">
        <f aca="false">MAX(0,IF(E64=0,D64,IF(F64&gt;=$B$10,D64-E64,0)))</f>
        <v>27.5088612174734</v>
      </c>
    </row>
    <row r="65" customFormat="false" ht="15" hidden="false" customHeight="false" outlineLevel="0" collapsed="false">
      <c r="A65" s="0" t="n">
        <v>6</v>
      </c>
      <c r="B65" s="10" t="n">
        <f aca="false">$B$3*(1+$B$4)^(A65-1)*IF(A65&gt;=$B$22,$B$21,1)</f>
        <v>67.8844927734375</v>
      </c>
      <c r="C65" s="10" t="n">
        <f aca="false">$B$5*(1+$B$6)^(A65-1)</f>
        <v>6.78844927734375</v>
      </c>
      <c r="D65" s="10" t="n">
        <f aca="false">B65-C65</f>
        <v>61.0960434960937</v>
      </c>
      <c r="E65" s="10" t="n">
        <f aca="false">IF(A65&lt;=$B$9,$B$26,0)</f>
        <v>32.0970348762765</v>
      </c>
      <c r="F65" s="15" t="n">
        <f aca="false">IF(E65&gt;0,D65/E65,"")</f>
        <v>1.90347936286323</v>
      </c>
      <c r="G65" s="10" t="n">
        <f aca="false">MAX(0,IF(E65=0,D65,IF(F65&gt;=$B$10,D65-E65,0)))</f>
        <v>28.9990086198172</v>
      </c>
    </row>
    <row r="66" customFormat="false" ht="15" hidden="false" customHeight="false" outlineLevel="0" collapsed="false">
      <c r="A66" s="0" t="n">
        <v>7</v>
      </c>
      <c r="B66" s="10" t="n">
        <f aca="false">$B$3*(1+$B$4)^(A66-1)*IF(A66&gt;=$B$22,$B$21,1)</f>
        <v>69.5816050927734</v>
      </c>
      <c r="C66" s="10" t="n">
        <f aca="false">$B$5*(1+$B$6)^(A66-1)</f>
        <v>6.95816050927734</v>
      </c>
      <c r="D66" s="10" t="n">
        <f aca="false">B66-C66</f>
        <v>62.6234445834961</v>
      </c>
      <c r="E66" s="10" t="n">
        <f aca="false">IF(A66&lt;=$B$9,$B$26,0)</f>
        <v>32.0970348762765</v>
      </c>
      <c r="F66" s="15" t="n">
        <f aca="false">IF(E66&gt;0,D66/E66,"")</f>
        <v>1.95106634693481</v>
      </c>
      <c r="G66" s="10" t="n">
        <f aca="false">MAX(0,IF(E66=0,D66,IF(F66&gt;=$B$10,D66-E66,0)))</f>
        <v>30.5264097072195</v>
      </c>
    </row>
    <row r="67" customFormat="false" ht="15" hidden="false" customHeight="false" outlineLevel="0" collapsed="false">
      <c r="A67" s="0" t="n">
        <v>8</v>
      </c>
      <c r="B67" s="10" t="n">
        <f aca="false">$B$3*(1+$B$4)^(A67-1)*IF(A67&gt;=$B$22,$B$21,1)</f>
        <v>71.3211452200927</v>
      </c>
      <c r="C67" s="10" t="n">
        <f aca="false">$B$5*(1+$B$6)^(A67-1)</f>
        <v>7.13211452200927</v>
      </c>
      <c r="D67" s="10" t="n">
        <f aca="false">B67-C67</f>
        <v>64.1890306980835</v>
      </c>
      <c r="E67" s="10" t="n">
        <f aca="false">IF(A67&lt;=$B$9,$B$26,0)</f>
        <v>32.0970348762765</v>
      </c>
      <c r="F67" s="15" t="n">
        <f aca="false">IF(E67&gt;0,D67/E67,"")</f>
        <v>1.99984300560818</v>
      </c>
      <c r="G67" s="10" t="n">
        <f aca="false">MAX(0,IF(E67=0,D67,IF(F67&gt;=$B$10,D67-E67,0)))</f>
        <v>32.0919958218069</v>
      </c>
    </row>
    <row r="68" customFormat="false" ht="15" hidden="false" customHeight="false" outlineLevel="0" collapsed="false">
      <c r="A68" s="0" t="n">
        <v>9</v>
      </c>
      <c r="B68" s="10" t="n">
        <f aca="false">$B$3*(1+$B$4)^(A68-1)*IF(A68&gt;=$B$22,$B$21,1)</f>
        <v>73.104173850595</v>
      </c>
      <c r="C68" s="10" t="n">
        <f aca="false">$B$5*(1+$B$6)^(A68-1)</f>
        <v>7.3104173850595</v>
      </c>
      <c r="D68" s="10" t="n">
        <f aca="false">B68-C68</f>
        <v>65.7937564655355</v>
      </c>
      <c r="E68" s="10" t="n">
        <f aca="false">IF(A68&lt;=$B$9,$B$26,0)</f>
        <v>32.0970348762765</v>
      </c>
      <c r="F68" s="15" t="n">
        <f aca="false">IF(E68&gt;0,D68/E68,"")</f>
        <v>2.04983908074839</v>
      </c>
      <c r="G68" s="10" t="n">
        <f aca="false">MAX(0,IF(E68=0,D68,IF(F68&gt;=$B$10,D68-E68,0)))</f>
        <v>33.696721589259</v>
      </c>
    </row>
    <row r="69" customFormat="false" ht="15" hidden="false" customHeight="false" outlineLevel="0" collapsed="false">
      <c r="A69" s="0" t="n">
        <v>10</v>
      </c>
      <c r="B69" s="10" t="n">
        <f aca="false">$B$3*(1+$B$4)^(A69-1)*IF(A69&gt;=$B$22,$B$21,1)</f>
        <v>74.9317781968599</v>
      </c>
      <c r="C69" s="10" t="n">
        <f aca="false">$B$5*(1+$B$6)^(A69-1)</f>
        <v>7.49317781968599</v>
      </c>
      <c r="D69" s="10" t="n">
        <f aca="false">B69-C69</f>
        <v>67.4386003771739</v>
      </c>
      <c r="E69" s="10" t="n">
        <f aca="false">IF(A69&lt;=$B$9,$B$26,0)</f>
        <v>32.0970348762765</v>
      </c>
      <c r="F69" s="15" t="n">
        <f aca="false">IF(E69&gt;0,D69/E69,"")</f>
        <v>2.10108505776709</v>
      </c>
      <c r="G69" s="10" t="n">
        <f aca="false">MAX(0,IF(E69=0,D69,IF(F69&gt;=$B$10,D69-E69,0)))</f>
        <v>35.3415655008974</v>
      </c>
    </row>
    <row r="70" customFormat="false" ht="15" hidden="false" customHeight="false" outlineLevel="0" collapsed="false">
      <c r="A70" s="0" t="n">
        <v>11</v>
      </c>
      <c r="B70" s="10" t="n">
        <f aca="false">$B$3*(1+$B$4)^(A70-1)*IF(A70&gt;=$B$22,$B$21,1)</f>
        <v>76.8050726517814</v>
      </c>
      <c r="C70" s="10" t="n">
        <f aca="false">$B$5*(1+$B$6)^(A70-1)</f>
        <v>7.68050726517814</v>
      </c>
      <c r="D70" s="10" t="n">
        <f aca="false">B70-C70</f>
        <v>69.1245653866033</v>
      </c>
      <c r="E70" s="10" t="n">
        <f aca="false">IF(A70&lt;=$B$9,$B$26,0)</f>
        <v>32.0970348762765</v>
      </c>
      <c r="F70" s="15" t="n">
        <f aca="false">IF(E70&gt;0,D70/E70,"")</f>
        <v>2.15361218421127</v>
      </c>
      <c r="G70" s="10" t="n">
        <f aca="false">MAX(0,IF(E70=0,D70,IF(F70&gt;=$B$10,D70-E70,0)))</f>
        <v>37.0275305103267</v>
      </c>
    </row>
    <row r="71" customFormat="false" ht="15" hidden="false" customHeight="false" outlineLevel="0" collapsed="false">
      <c r="A71" s="0" t="n">
        <v>12</v>
      </c>
      <c r="B71" s="10" t="n">
        <f aca="false">$B$3*(1+$B$4)^(A71-1)*IF(A71&gt;=$B$22,$B$21,1)</f>
        <v>78.7251994680759</v>
      </c>
      <c r="C71" s="10" t="n">
        <f aca="false">$B$5*(1+$B$6)^(A71-1)</f>
        <v>7.87251994680759</v>
      </c>
      <c r="D71" s="10" t="n">
        <f aca="false">B71-C71</f>
        <v>70.8526795212683</v>
      </c>
      <c r="E71" s="10" t="n">
        <f aca="false">IF(A71&lt;=$B$9,$B$26,0)</f>
        <v>32.0970348762765</v>
      </c>
      <c r="F71" s="15" t="n">
        <f aca="false">IF(E71&gt;0,D71/E71,"")</f>
        <v>2.20745248881655</v>
      </c>
      <c r="G71" s="10" t="n">
        <f aca="false">MAX(0,IF(E71=0,D71,IF(F71&gt;=$B$10,D71-E71,0)))</f>
        <v>38.7556446449918</v>
      </c>
    </row>
    <row r="72" customFormat="false" ht="15" hidden="false" customHeight="false" outlineLevel="0" collapsed="false">
      <c r="A72" s="0" t="n">
        <v>13</v>
      </c>
      <c r="B72" s="10" t="n">
        <f aca="false">$B$3*(1+$B$4)^(A72-1)*IF(A72&gt;=$B$22,$B$21,1)</f>
        <v>80.6933294547778</v>
      </c>
      <c r="C72" s="10" t="n">
        <f aca="false">$B$5*(1+$B$6)^(A72-1)</f>
        <v>8.06933294547778</v>
      </c>
      <c r="D72" s="10" t="n">
        <f aca="false">B72-C72</f>
        <v>72.6239965093</v>
      </c>
      <c r="E72" s="10" t="n">
        <f aca="false">IF(A72&lt;=$B$9,$B$26,0)</f>
        <v>32.0970348762765</v>
      </c>
      <c r="F72" s="15" t="n">
        <f aca="false">IF(E72&gt;0,D72/E72,"")</f>
        <v>2.26263880103697</v>
      </c>
      <c r="G72" s="10" t="n">
        <f aca="false">MAX(0,IF(E72=0,D72,IF(F72&gt;=$B$10,D72-E72,0)))</f>
        <v>40.5269616330235</v>
      </c>
    </row>
    <row r="73" customFormat="false" ht="15" hidden="false" customHeight="false" outlineLevel="0" collapsed="false">
      <c r="A73" s="0" t="n">
        <v>14</v>
      </c>
      <c r="B73" s="10" t="n">
        <f aca="false">$B$3*(1+$B$4)^(A73-1)*IF(A73&gt;=$B$22,$B$21,1)</f>
        <v>82.7106626911473</v>
      </c>
      <c r="C73" s="10" t="n">
        <f aca="false">$B$5*(1+$B$6)^(A73-1)</f>
        <v>8.27106626911473</v>
      </c>
      <c r="D73" s="10" t="n">
        <f aca="false">B73-C73</f>
        <v>74.4395964220325</v>
      </c>
      <c r="E73" s="10" t="n">
        <f aca="false">IF(A73&lt;=$B$9,$B$26,0)</f>
        <v>32.0970348762765</v>
      </c>
      <c r="F73" s="15" t="n">
        <f aca="false">IF(E73&gt;0,D73/E73,"")</f>
        <v>2.31920477106289</v>
      </c>
      <c r="G73" s="10" t="n">
        <f aca="false">MAX(0,IF(E73=0,D73,IF(F73&gt;=$B$10,D73-E73,0)))</f>
        <v>42.342561545756</v>
      </c>
    </row>
    <row r="74" customFormat="false" ht="15" hidden="false" customHeight="false" outlineLevel="0" collapsed="false">
      <c r="A74" s="0" t="n">
        <v>15</v>
      </c>
      <c r="B74" s="10" t="n">
        <f aca="false">$B$3*(1+$B$4)^(A74-1)*IF(A74&gt;=$B$22,$B$21,1)</f>
        <v>84.7784292584259</v>
      </c>
      <c r="C74" s="10" t="n">
        <f aca="false">$B$5*(1+$B$6)^(A74-1)</f>
        <v>8.47784292584259</v>
      </c>
      <c r="D74" s="10" t="n">
        <f aca="false">B74-C74</f>
        <v>76.3005863325834</v>
      </c>
      <c r="E74" s="10" t="n">
        <f aca="false">IF(A74&lt;=$B$9,$B$26,0)</f>
        <v>32.0970348762765</v>
      </c>
      <c r="F74" s="15" t="n">
        <f aca="false">IF(E74&gt;0,D74/E74,"")</f>
        <v>2.37718489033946</v>
      </c>
      <c r="G74" s="10" t="n">
        <f aca="false">MAX(0,IF(E74=0,D74,IF(F74&gt;=$B$10,D74-E74,0)))</f>
        <v>44.2035514563068</v>
      </c>
    </row>
    <row r="75" customFormat="false" ht="15" hidden="false" customHeight="false" outlineLevel="0" collapsed="false">
      <c r="A75" s="0" t="n">
        <v>16</v>
      </c>
      <c r="B75" s="10" t="n">
        <f aca="false">$B$3*(1+$B$4)^(A75-1)*IF(A75&gt;=$B$22,$B$21,1)</f>
        <v>86.8978899898866</v>
      </c>
      <c r="C75" s="10" t="n">
        <f aca="false">$B$5*(1+$B$6)^(A75-1)</f>
        <v>8.68978899898866</v>
      </c>
      <c r="D75" s="10" t="n">
        <f aca="false">B75-C75</f>
        <v>78.2081009908979</v>
      </c>
      <c r="E75" s="10" t="n">
        <f aca="false">IF(A75&lt;=$B$9,$B$26,0)</f>
        <v>32.0970348762765</v>
      </c>
      <c r="F75" s="15" t="n">
        <f aca="false">IF(E75&gt;0,D75/E75,"")</f>
        <v>2.43661451259795</v>
      </c>
      <c r="G75" s="10" t="n">
        <f aca="false">MAX(0,IF(E75=0,D75,IF(F75&gt;=$B$10,D75-E75,0)))</f>
        <v>46.1110661146214</v>
      </c>
    </row>
    <row r="76" customFormat="false" ht="15" hidden="false" customHeight="false" outlineLevel="0" collapsed="false">
      <c r="A76" s="0" t="n">
        <v>17</v>
      </c>
      <c r="B76" s="10" t="n">
        <f aca="false">$B$3*(1+$B$4)^(A76-1)*IF(A76&gt;=$B$22,$B$21,1)</f>
        <v>89.0703372396337</v>
      </c>
      <c r="C76" s="10" t="n">
        <f aca="false">$B$5*(1+$B$6)^(A76-1)</f>
        <v>8.90703372396337</v>
      </c>
      <c r="D76" s="10" t="n">
        <f aca="false">B76-C76</f>
        <v>80.1633035156704</v>
      </c>
      <c r="E76" s="10" t="n">
        <f aca="false">IF(A76&lt;=$B$9,$B$26,0)</f>
        <v>32.0970348762765</v>
      </c>
      <c r="F76" s="15" t="n">
        <f aca="false">IF(E76&gt;0,D76/E76,"")</f>
        <v>2.4975298754129</v>
      </c>
      <c r="G76" s="10" t="n">
        <f aca="false">MAX(0,IF(E76=0,D76,IF(F76&gt;=$B$10,D76-E76,0)))</f>
        <v>48.0662686393938</v>
      </c>
    </row>
    <row r="77" customFormat="false" ht="15" hidden="false" customHeight="false" outlineLevel="0" collapsed="false">
      <c r="A77" s="0" t="n">
        <v>18</v>
      </c>
      <c r="B77" s="10" t="n">
        <f aca="false">$B$3*(1+$B$4)^(A77-1)*IF(A77&gt;=$B$22,$B$21,1)</f>
        <v>91.2970956706246</v>
      </c>
      <c r="C77" s="10" t="n">
        <f aca="false">$B$5*(1+$B$6)^(A77-1)</f>
        <v>9.12970956706246</v>
      </c>
      <c r="D77" s="10" t="n">
        <f aca="false">B77-C77</f>
        <v>82.1673861035621</v>
      </c>
      <c r="E77" s="10" t="n">
        <f aca="false">IF(A77&lt;=$B$9,$B$26,0)</f>
        <v>32.0970348762765</v>
      </c>
      <c r="F77" s="15" t="n">
        <f aca="false">IF(E77&gt;0,D77/E77,"")</f>
        <v>2.55996812229822</v>
      </c>
      <c r="G77" s="10" t="n">
        <f aca="false">MAX(0,IF(E77=0,D77,IF(F77&gt;=$B$10,D77-E77,0)))</f>
        <v>50.0703512272856</v>
      </c>
    </row>
    <row r="78" customFormat="false" ht="15" hidden="false" customHeight="false" outlineLevel="0" collapsed="false">
      <c r="A78" s="0" t="n">
        <v>19</v>
      </c>
      <c r="B78" s="10" t="n">
        <f aca="false">$B$3*(1+$B$4)^(A78-1)*IF(A78&gt;=$B$22,$B$21,1)</f>
        <v>93.5795230623902</v>
      </c>
      <c r="C78" s="10" t="n">
        <f aca="false">$B$5*(1+$B$6)^(A78-1)</f>
        <v>9.35795230623902</v>
      </c>
      <c r="D78" s="10" t="n">
        <f aca="false">B78-C78</f>
        <v>84.2215707561512</v>
      </c>
      <c r="E78" s="10" t="n">
        <f aca="false">IF(A78&lt;=$B$9,$B$26,0)</f>
        <v>32.0970348762765</v>
      </c>
      <c r="F78" s="15" t="n">
        <f aca="false">IF(E78&gt;0,D78/E78,"")</f>
        <v>2.62396732535568</v>
      </c>
      <c r="G78" s="10" t="n">
        <f aca="false">MAX(0,IF(E78=0,D78,IF(F78&gt;=$B$10,D78-E78,0)))</f>
        <v>52.1245358798746</v>
      </c>
    </row>
    <row r="79" customFormat="false" ht="15" hidden="false" customHeight="false" outlineLevel="0" collapsed="false">
      <c r="A79" s="0" t="n">
        <v>20</v>
      </c>
      <c r="B79" s="10" t="n">
        <f aca="false">$B$3*(1+$B$4)^(A79-1)*IF(A79&gt;=$B$22,$B$21,1)</f>
        <v>95.9190111389499</v>
      </c>
      <c r="C79" s="10" t="n">
        <f aca="false">$B$5*(1+$B$6)^(A79-1)</f>
        <v>9.59190111389499</v>
      </c>
      <c r="D79" s="10" t="n">
        <f aca="false">B79-C79</f>
        <v>86.3271100250549</v>
      </c>
      <c r="E79" s="10" t="n">
        <f aca="false">IF(A79&lt;=$B$9,$B$26,0)</f>
        <v>32.0970348762765</v>
      </c>
      <c r="F79" s="15" t="n">
        <f aca="false">IF(E79&gt;0,D79/E79,"")</f>
        <v>2.68956650848957</v>
      </c>
      <c r="G79" s="10" t="n">
        <f aca="false">MAX(0,IF(E79=0,D79,IF(F79&gt;=$B$10,D79-E79,0)))</f>
        <v>54.2300751487784</v>
      </c>
    </row>
    <row r="80" customFormat="false" ht="15" hidden="false" customHeight="false" outlineLevel="0" collapsed="false">
      <c r="A80" s="0" t="n">
        <v>21</v>
      </c>
      <c r="B80" s="10" t="n">
        <f aca="false">$B$3*(1+$B$4)^(A80-1)*IF(A80&gt;=$B$22,$B$21,1)</f>
        <v>98.3169864174237</v>
      </c>
      <c r="C80" s="10" t="n">
        <f aca="false">$B$5*(1+$B$6)^(A80-1)</f>
        <v>9.83169864174237</v>
      </c>
      <c r="D80" s="10" t="n">
        <f aca="false">B80-C80</f>
        <v>88.4852877756813</v>
      </c>
      <c r="E80" s="10" t="n">
        <f aca="false">IF(A80&lt;=$B$9,$B$26,0)</f>
        <v>0</v>
      </c>
      <c r="F80" s="15" t="str">
        <f aca="false">IF(E80&gt;0,D80/E80,"")</f>
        <v/>
      </c>
      <c r="G80" s="10" t="n">
        <f aca="false">MAX(0,IF(E80=0,D80,IF(F80&gt;=$B$10,D80-E80,0)))</f>
        <v>88.4852877756813</v>
      </c>
    </row>
    <row r="81" customFormat="false" ht="15" hidden="false" customHeight="false" outlineLevel="0" collapsed="false">
      <c r="A81" s="0" t="n">
        <v>22</v>
      </c>
      <c r="B81" s="10" t="n">
        <f aca="false">$B$3*(1+$B$4)^(A81-1)*IF(A81&gt;=$B$22,$B$21,1)</f>
        <v>100.774911077859</v>
      </c>
      <c r="C81" s="10" t="n">
        <f aca="false">$B$5*(1+$B$6)^(A81-1)</f>
        <v>10.0774911077859</v>
      </c>
      <c r="D81" s="10" t="n">
        <f aca="false">B81-C81</f>
        <v>90.6974199700733</v>
      </c>
      <c r="E81" s="10" t="n">
        <f aca="false">IF(A81&lt;=$B$9,$B$26,0)</f>
        <v>0</v>
      </c>
      <c r="F81" s="15" t="str">
        <f aca="false">IF(E81&gt;0,D81/E81,"")</f>
        <v/>
      </c>
      <c r="G81" s="10" t="n">
        <f aca="false">MAX(0,IF(E81=0,D81,IF(F81&gt;=$B$10,D81-E81,0)))</f>
        <v>90.6974199700733</v>
      </c>
    </row>
    <row r="82" customFormat="false" ht="15" hidden="false" customHeight="false" outlineLevel="0" collapsed="false">
      <c r="A82" s="0" t="n">
        <v>23</v>
      </c>
      <c r="B82" s="10" t="n">
        <f aca="false">$B$3*(1+$B$4)^(A82-1)*IF(A82&gt;=$B$22,$B$21,1)</f>
        <v>103.294283854806</v>
      </c>
      <c r="C82" s="10" t="n">
        <f aca="false">$B$5*(1+$B$6)^(A82-1)</f>
        <v>10.3294283854806</v>
      </c>
      <c r="D82" s="10" t="n">
        <f aca="false">B82-C82</f>
        <v>92.9648554693251</v>
      </c>
      <c r="E82" s="10" t="n">
        <f aca="false">IF(A82&lt;=$B$9,$B$26,0)</f>
        <v>0</v>
      </c>
      <c r="F82" s="15" t="str">
        <f aca="false">IF(E82&gt;0,D82/E82,"")</f>
        <v/>
      </c>
      <c r="G82" s="10" t="n">
        <f aca="false">MAX(0,IF(E82=0,D82,IF(F82&gt;=$B$10,D82-E82,0)))</f>
        <v>92.9648554693251</v>
      </c>
    </row>
    <row r="83" customFormat="false" ht="15" hidden="false" customHeight="false" outlineLevel="0" collapsed="false">
      <c r="A83" s="0" t="n">
        <v>24</v>
      </c>
      <c r="B83" s="10" t="n">
        <f aca="false">$B$3*(1+$B$4)^(A83-1)*IF(A83&gt;=$B$22,$B$21,1)</f>
        <v>105.876640951176</v>
      </c>
      <c r="C83" s="10" t="n">
        <f aca="false">$B$5*(1+$B$6)^(A83-1)</f>
        <v>10.5876640951176</v>
      </c>
      <c r="D83" s="10" t="n">
        <f aca="false">B83-C83</f>
        <v>95.2889768560583</v>
      </c>
      <c r="E83" s="10" t="n">
        <f aca="false">IF(A83&lt;=$B$9,$B$26,0)</f>
        <v>0</v>
      </c>
      <c r="F83" s="15" t="str">
        <f aca="false">IF(E83&gt;0,D83/E83,"")</f>
        <v/>
      </c>
      <c r="G83" s="10" t="n">
        <f aca="false">MAX(0,IF(E83=0,D83,IF(F83&gt;=$B$10,D83-E83,0)))</f>
        <v>95.2889768560583</v>
      </c>
    </row>
    <row r="84" customFormat="false" ht="15" hidden="false" customHeight="false" outlineLevel="0" collapsed="false">
      <c r="A84" s="0" t="n">
        <v>25</v>
      </c>
      <c r="B84" s="10" t="n">
        <f aca="false">$B$3*(1+$B$4)^(A84-1)*IF(A84&gt;=$B$22,$B$21,1)</f>
        <v>108.523556974955</v>
      </c>
      <c r="C84" s="10" t="n">
        <f aca="false">$B$5*(1+$B$6)^(A84-1)</f>
        <v>10.8523556974955</v>
      </c>
      <c r="D84" s="10" t="n">
        <f aca="false">B84-C84</f>
        <v>97.6712012774597</v>
      </c>
      <c r="E84" s="10" t="n">
        <f aca="false">IF(A84&lt;=$B$9,$B$26,0)</f>
        <v>0</v>
      </c>
      <c r="F84" s="15" t="str">
        <f aca="false">IF(E84&gt;0,D84/E84,"")</f>
        <v/>
      </c>
      <c r="G84" s="10" t="n">
        <f aca="false">MAX(0,IF(E84=0,D84,IF(F84&gt;=$B$10,D84-E84,0)))</f>
        <v>97.6712012774597</v>
      </c>
    </row>
    <row r="85" customFormat="false" ht="15" hidden="false" customHeight="false" outlineLevel="0" collapsed="false">
      <c r="A85" s="0" t="n">
        <v>26</v>
      </c>
      <c r="B85" s="10" t="n">
        <f aca="false">$B$3*(1+$B$4)^(A85-1)*IF(A85&gt;=$B$22,$B$21,1)</f>
        <v>111.236645899329</v>
      </c>
      <c r="C85" s="10" t="n">
        <f aca="false">$B$5*(1+$B$6)^(A85-1)</f>
        <v>11.1236645899329</v>
      </c>
      <c r="D85" s="10" t="n">
        <f aca="false">B85-C85</f>
        <v>100.112981309396</v>
      </c>
      <c r="E85" s="10" t="n">
        <f aca="false">IF(A85&lt;=$B$9,$B$26,0)</f>
        <v>0</v>
      </c>
      <c r="F85" s="15" t="str">
        <f aca="false">IF(E85&gt;0,D85/E85,"")</f>
        <v/>
      </c>
      <c r="G85" s="10" t="n">
        <f aca="false">MAX(0,IF(E85=0,D85,IF(F85&gt;=$B$10,D85-E85,0)))</f>
        <v>100.112981309396</v>
      </c>
    </row>
    <row r="86" customFormat="false" ht="15" hidden="false" customHeight="false" outlineLevel="0" collapsed="false">
      <c r="A86" s="0" t="n">
        <v>27</v>
      </c>
      <c r="B86" s="10" t="n">
        <f aca="false">$B$3*(1+$B$4)^(A86-1)*IF(A86&gt;=$B$22,$B$21,1)</f>
        <v>114.017562046812</v>
      </c>
      <c r="C86" s="10" t="n">
        <f aca="false">$B$5*(1+$B$6)^(A86-1)</f>
        <v>11.4017562046812</v>
      </c>
      <c r="D86" s="10" t="n">
        <f aca="false">B86-C86</f>
        <v>102.615805842131</v>
      </c>
      <c r="E86" s="10" t="n">
        <f aca="false">IF(A86&lt;=$B$9,$B$26,0)</f>
        <v>0</v>
      </c>
      <c r="F86" s="15" t="str">
        <f aca="false">IF(E86&gt;0,D86/E86,"")</f>
        <v/>
      </c>
      <c r="G86" s="10" t="n">
        <f aca="false">MAX(0,IF(E86=0,D86,IF(F86&gt;=$B$10,D86-E86,0)))</f>
        <v>102.615805842131</v>
      </c>
    </row>
    <row r="87" customFormat="false" ht="15" hidden="false" customHeight="false" outlineLevel="0" collapsed="false">
      <c r="A87" s="0" t="n">
        <v>28</v>
      </c>
      <c r="B87" s="10" t="n">
        <f aca="false">$B$3*(1+$B$4)^(A87-1)*IF(A87&gt;=$B$22,$B$21,1)</f>
        <v>116.868001097983</v>
      </c>
      <c r="C87" s="10" t="n">
        <f aca="false">$B$5*(1+$B$6)^(A87-1)</f>
        <v>11.6868001097983</v>
      </c>
      <c r="D87" s="10" t="n">
        <f aca="false">B87-C87</f>
        <v>105.181200988184</v>
      </c>
      <c r="E87" s="10" t="n">
        <f aca="false">IF(A87&lt;=$B$9,$B$26,0)</f>
        <v>0</v>
      </c>
      <c r="F87" s="15" t="str">
        <f aca="false">IF(E87&gt;0,D87/E87,"")</f>
        <v/>
      </c>
      <c r="G87" s="10" t="n">
        <f aca="false">MAX(0,IF(E87=0,D87,IF(F87&gt;=$B$10,D87-E87,0)))</f>
        <v>105.181200988184</v>
      </c>
    </row>
    <row r="88" customFormat="false" ht="15" hidden="false" customHeight="false" outlineLevel="0" collapsed="false">
      <c r="A88" s="0" t="n">
        <v>29</v>
      </c>
      <c r="B88" s="10" t="n">
        <f aca="false">$B$3*(1+$B$4)^(A88-1)*IF(A88&gt;=$B$22,$B$21,1)</f>
        <v>119.789701125432</v>
      </c>
      <c r="C88" s="10" t="n">
        <f aca="false">$B$5*(1+$B$6)^(A88-1)</f>
        <v>11.9789701125432</v>
      </c>
      <c r="D88" s="10" t="n">
        <f aca="false">B88-C88</f>
        <v>107.810731012889</v>
      </c>
      <c r="E88" s="10" t="n">
        <f aca="false">IF(A88&lt;=$B$9,$B$26,0)</f>
        <v>0</v>
      </c>
      <c r="F88" s="15" t="str">
        <f aca="false">IF(E88&gt;0,D88/E88,"")</f>
        <v/>
      </c>
      <c r="G88" s="10" t="n">
        <f aca="false">MAX(0,IF(E88=0,D88,IF(F88&gt;=$B$10,D88-E88,0)))</f>
        <v>107.810731012889</v>
      </c>
    </row>
    <row r="89" customFormat="false" ht="15" hidden="false" customHeight="false" outlineLevel="0" collapsed="false">
      <c r="A89" s="0" t="n">
        <v>30</v>
      </c>
      <c r="B89" s="10" t="n">
        <f aca="false">$B$3*(1+$B$4)^(A89-1)*IF(A89&gt;=$B$22,$B$21,1)</f>
        <v>122.784443653568</v>
      </c>
      <c r="C89" s="10" t="n">
        <f aca="false">$B$5*(1+$B$6)^(A89-1)</f>
        <v>12.2784443653568</v>
      </c>
      <c r="D89" s="10" t="n">
        <f aca="false">B89-C89</f>
        <v>110.505999288211</v>
      </c>
      <c r="E89" s="10" t="n">
        <f aca="false">IF(A89&lt;=$B$9,$B$26,0)</f>
        <v>0</v>
      </c>
      <c r="F89" s="15" t="str">
        <f aca="false">IF(E89&gt;0,D89/E89,"")</f>
        <v/>
      </c>
      <c r="G89" s="10" t="n">
        <f aca="false">MAX(0,IF(E89=0,D89,IF(F89&gt;=$B$10,D89-E89,0)))</f>
        <v>110.505999288211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</cols>
  <sheetData>
    <row r="1" customFormat="false" ht="16.15" hidden="false" customHeight="false" outlineLevel="0" collapsed="false">
      <c r="A1" s="2" t="s">
        <v>231</v>
      </c>
    </row>
    <row r="3" customFormat="false" ht="28.35" hidden="false" customHeight="false" outlineLevel="0" collapsed="false">
      <c r="A3" s="16" t="s">
        <v>232</v>
      </c>
      <c r="B3" s="16" t="s">
        <v>233</v>
      </c>
      <c r="C3" s="16" t="s">
        <v>234</v>
      </c>
      <c r="D3" s="16" t="s">
        <v>235</v>
      </c>
    </row>
    <row r="4" customFormat="false" ht="15" hidden="false" customHeight="false" outlineLevel="0" collapsed="false">
      <c r="A4" s="0" t="s">
        <v>236</v>
      </c>
      <c r="B4" s="5" t="n">
        <v>0.0375</v>
      </c>
      <c r="C4" s="5" t="n">
        <v>0.0375</v>
      </c>
      <c r="D4" s="5" t="n">
        <v>0.0375</v>
      </c>
    </row>
    <row r="5" customFormat="false" ht="15" hidden="false" customHeight="false" outlineLevel="0" collapsed="false">
      <c r="A5" s="0" t="s">
        <v>237</v>
      </c>
      <c r="B5" s="5" t="n">
        <v>0.015</v>
      </c>
      <c r="C5" s="5" t="n">
        <v>0.02</v>
      </c>
      <c r="D5" s="5" t="n">
        <v>0.0425</v>
      </c>
    </row>
    <row r="6" customFormat="false" ht="15" hidden="false" customHeight="false" outlineLevel="0" collapsed="false">
      <c r="A6" s="0" t="s">
        <v>238</v>
      </c>
      <c r="B6" s="5" t="n">
        <v>0.01</v>
      </c>
      <c r="C6" s="5" t="n">
        <v>0.015</v>
      </c>
      <c r="D6" s="5" t="n">
        <v>0.02</v>
      </c>
    </row>
    <row r="7" customFormat="false" ht="15" hidden="false" customHeight="false" outlineLevel="0" collapsed="false">
      <c r="A7" s="0" t="s">
        <v>239</v>
      </c>
      <c r="B7" s="5" t="n">
        <v>0.003</v>
      </c>
      <c r="C7" s="5" t="n">
        <v>0.008</v>
      </c>
      <c r="D7" s="5" t="n">
        <v>0.02</v>
      </c>
    </row>
    <row r="8" customFormat="false" ht="15" hidden="false" customHeight="false" outlineLevel="0" collapsed="false">
      <c r="A8" s="0" t="s">
        <v>240</v>
      </c>
      <c r="B8" s="5" t="n">
        <v>0.25</v>
      </c>
      <c r="C8" s="5" t="n">
        <v>0.35</v>
      </c>
      <c r="D8" s="5" t="n">
        <v>0.55</v>
      </c>
    </row>
    <row r="10" customFormat="false" ht="15" hidden="false" customHeight="false" outlineLevel="0" collapsed="false">
      <c r="A10" s="0" t="s">
        <v>241</v>
      </c>
      <c r="B10" s="10" t="n">
        <f aca="false">Wexmoor!$B$26</f>
        <v>251.504626459415</v>
      </c>
      <c r="C10" s="10" t="n">
        <f aca="false">Tarnbeck!$B$36</f>
        <v>127.656601305672</v>
      </c>
      <c r="D10" s="10" t="n">
        <f aca="false">Carrow!$B$12</f>
        <v>150</v>
      </c>
    </row>
    <row r="11" customFormat="false" ht="15" hidden="false" customHeight="false" outlineLevel="0" collapsed="false">
      <c r="A11" s="0" t="s">
        <v>242</v>
      </c>
      <c r="B11" s="22" t="n">
        <f aca="false">IRR(B30:B55)</f>
        <v>0.0535066564362726</v>
      </c>
      <c r="C11" s="22" t="n">
        <f aca="false">IRR(C30:C55)</f>
        <v>0.0597962273390896</v>
      </c>
      <c r="D11" s="22" t="n">
        <f aca="false">IRR(D30:D55)</f>
        <v>0.0840013768767167</v>
      </c>
    </row>
    <row r="12" customFormat="false" ht="15" hidden="false" customHeight="false" outlineLevel="0" collapsed="false">
      <c r="A12" s="0" t="s">
        <v>62</v>
      </c>
      <c r="B12" s="13" t="n">
        <f aca="false">Wexmoor!B34</f>
        <v>15.5183983691413</v>
      </c>
      <c r="C12" s="13" t="n">
        <f aca="false">Tarnbeck!B42</f>
        <v>9.21380972939621</v>
      </c>
      <c r="D12" s="13" t="n">
        <f aca="false">SUMPRODUCT(F31:F37,G31:G37)/SUM(G31:G37)</f>
        <v>6.79</v>
      </c>
    </row>
    <row r="13" customFormat="false" ht="15" hidden="false" customHeight="false" outlineLevel="0" collapsed="false">
      <c r="A13" s="0" t="s">
        <v>243</v>
      </c>
      <c r="B13" s="22" t="n">
        <f aca="false">B11-B4</f>
        <v>0.0160066564362726</v>
      </c>
      <c r="C13" s="22" t="n">
        <f aca="false">C11-C4</f>
        <v>0.0222962273390896</v>
      </c>
      <c r="D13" s="22" t="n">
        <f aca="false">D11-D4</f>
        <v>0.0465013768767167</v>
      </c>
    </row>
    <row r="14" customFormat="false" ht="15" hidden="false" customHeight="false" outlineLevel="0" collapsed="false">
      <c r="A14" s="0" t="s">
        <v>244</v>
      </c>
      <c r="B14" s="22" t="n">
        <f aca="false">B6/B12</f>
        <v>0.000644396397239372</v>
      </c>
      <c r="C14" s="22" t="n">
        <f aca="false">C6/C12</f>
        <v>0.00162799107432653</v>
      </c>
      <c r="D14" s="22" t="n">
        <f aca="false">D6/D12</f>
        <v>0.00294550810014728</v>
      </c>
    </row>
    <row r="15" customFormat="false" ht="15" hidden="false" customHeight="false" outlineLevel="0" collapsed="false">
      <c r="A15" s="0" t="s">
        <v>245</v>
      </c>
      <c r="B15" s="22" t="n">
        <f aca="false">B7*B8</f>
        <v>0.00075</v>
      </c>
      <c r="C15" s="22" t="n">
        <f aca="false">C7*C8</f>
        <v>0.0028</v>
      </c>
      <c r="D15" s="22" t="n">
        <f aca="false">D7*D8</f>
        <v>0.011</v>
      </c>
    </row>
    <row r="16" customFormat="false" ht="15" hidden="false" customHeight="false" outlineLevel="0" collapsed="false">
      <c r="A16" s="0" t="s">
        <v>246</v>
      </c>
      <c r="B16" s="22" t="n">
        <f aca="false">B13-B15</f>
        <v>0.0152566564362726</v>
      </c>
      <c r="C16" s="22" t="n">
        <f aca="false">C13-C15</f>
        <v>0.0194962273390896</v>
      </c>
      <c r="D16" s="22" t="n">
        <f aca="false">D13-D15</f>
        <v>0.0355013768767167</v>
      </c>
    </row>
    <row r="17" customFormat="false" ht="15" hidden="false" customHeight="false" outlineLevel="0" collapsed="false">
      <c r="A17" s="0" t="s">
        <v>247</v>
      </c>
      <c r="B17" s="23" t="n">
        <f aca="false">B16/B15</f>
        <v>20.3422085816968</v>
      </c>
      <c r="C17" s="23" t="n">
        <f aca="false">C16/C15</f>
        <v>6.96293833538914</v>
      </c>
      <c r="D17" s="23" t="n">
        <f aca="false">D16/D15</f>
        <v>3.22739789788333</v>
      </c>
    </row>
    <row r="18" customFormat="false" ht="15" hidden="false" customHeight="false" outlineLevel="0" collapsed="false">
      <c r="A18" s="0" t="s">
        <v>248</v>
      </c>
      <c r="B18" s="22" t="n">
        <f aca="false">(B13-$B$16)/B8</f>
        <v>0.003</v>
      </c>
      <c r="C18" s="22" t="n">
        <f aca="false">(C13-$B$16)/C8</f>
        <v>0.0201130597223342</v>
      </c>
      <c r="D18" s="22" t="n">
        <f aca="false">(D13-$B$16)/D8</f>
        <v>0.0568085826189892</v>
      </c>
    </row>
    <row r="29" customFormat="false" ht="41.75" hidden="false" customHeight="false" outlineLevel="0" collapsed="false">
      <c r="A29" s="16" t="s">
        <v>249</v>
      </c>
      <c r="B29" s="16" t="s">
        <v>250</v>
      </c>
      <c r="C29" s="16" t="s">
        <v>234</v>
      </c>
      <c r="D29" s="16" t="s">
        <v>235</v>
      </c>
      <c r="E29" s="16" t="s">
        <v>65</v>
      </c>
      <c r="F29" s="16" t="s">
        <v>251</v>
      </c>
      <c r="G29" s="16" t="s">
        <v>252</v>
      </c>
    </row>
    <row r="30" customFormat="false" ht="15" hidden="false" customHeight="false" outlineLevel="0" collapsed="false">
      <c r="A30" s="0" t="n">
        <v>0</v>
      </c>
      <c r="B30" s="0" t="n">
        <f aca="false">-B10*(1-B6)</f>
        <v>-248.989580194821</v>
      </c>
      <c r="C30" s="0" t="n">
        <f aca="false">-C10*(1-C6)</f>
        <v>-125.741752286087</v>
      </c>
      <c r="D30" s="0" t="n">
        <f aca="false">-D10*(1-D6)</f>
        <v>-147</v>
      </c>
    </row>
    <row r="31" customFormat="false" ht="15" hidden="false" customHeight="false" outlineLevel="0" collapsed="false">
      <c r="A31" s="0" t="n">
        <v>1</v>
      </c>
      <c r="B31" s="10" t="n">
        <f aca="false">Wexmoor!H40</f>
        <v>16.25</v>
      </c>
      <c r="C31" s="10" t="n">
        <f aca="false">Tarnbeck!J60</f>
        <v>13.6303014035738</v>
      </c>
      <c r="D31" s="10" t="n">
        <f aca="false">D10*Carrow!$B$13+G31</f>
        <v>13.5</v>
      </c>
      <c r="F31" s="0" t="n">
        <v>1</v>
      </c>
      <c r="G31" s="10" t="n">
        <f aca="false">D10*Carrow!$B$14</f>
        <v>1.5</v>
      </c>
    </row>
    <row r="32" customFormat="false" ht="15" hidden="false" customHeight="false" outlineLevel="0" collapsed="false">
      <c r="A32" s="0" t="n">
        <v>2</v>
      </c>
      <c r="B32" s="10" t="n">
        <f aca="false">Wexmoor!H41</f>
        <v>16.5395833333333</v>
      </c>
      <c r="C32" s="10" t="n">
        <f aca="false">Tarnbeck!J61</f>
        <v>13.5191902924627</v>
      </c>
      <c r="D32" s="10" t="n">
        <f aca="false">(D10-SUM(G31:G31))*Carrow!$B$13+G32</f>
        <v>13.38</v>
      </c>
      <c r="F32" s="0" t="n">
        <v>2</v>
      </c>
      <c r="G32" s="10" t="n">
        <f aca="false">D10*Carrow!$B$14</f>
        <v>1.5</v>
      </c>
    </row>
    <row r="33" customFormat="false" ht="15" hidden="false" customHeight="false" outlineLevel="0" collapsed="false">
      <c r="A33" s="0" t="n">
        <v>3</v>
      </c>
      <c r="B33" s="10" t="n">
        <f aca="false">Wexmoor!H42</f>
        <v>16.8340729166667</v>
      </c>
      <c r="C33" s="10" t="n">
        <f aca="false">Tarnbeck!J62</f>
        <v>13.4053014035738</v>
      </c>
      <c r="D33" s="10" t="n">
        <f aca="false">(D10-SUM(G31:G32))*Carrow!$B$13+G33</f>
        <v>13.26</v>
      </c>
      <c r="F33" s="0" t="n">
        <v>3</v>
      </c>
      <c r="G33" s="10" t="n">
        <f aca="false">D10*Carrow!$B$14</f>
        <v>1.5</v>
      </c>
    </row>
    <row r="34" customFormat="false" ht="15" hidden="false" customHeight="false" outlineLevel="0" collapsed="false">
      <c r="A34" s="0" t="n">
        <v>4</v>
      </c>
      <c r="B34" s="10" t="n">
        <f aca="false">Wexmoor!H43</f>
        <v>17.1335447395833</v>
      </c>
      <c r="C34" s="10" t="n">
        <f aca="false">Tarnbeck!J63</f>
        <v>13.2885652924627</v>
      </c>
      <c r="D34" s="10" t="n">
        <f aca="false">(D10-SUM(G31:G33))*Carrow!$B$13+G34</f>
        <v>13.14</v>
      </c>
      <c r="F34" s="0" t="n">
        <v>4</v>
      </c>
      <c r="G34" s="10" t="n">
        <f aca="false">D10*Carrow!$B$14</f>
        <v>1.5</v>
      </c>
    </row>
    <row r="35" customFormat="false" ht="15" hidden="false" customHeight="false" outlineLevel="0" collapsed="false">
      <c r="A35" s="0" t="n">
        <v>5</v>
      </c>
      <c r="B35" s="10" t="n">
        <f aca="false">Wexmoor!H44</f>
        <v>17.4380757580729</v>
      </c>
      <c r="C35" s="10" t="n">
        <f aca="false">Tarnbeck!J64</f>
        <v>13.1689107785738</v>
      </c>
      <c r="D35" s="10" t="n">
        <f aca="false">(D10-SUM(G31:G34))*Carrow!$B$13+G35</f>
        <v>13.02</v>
      </c>
      <c r="F35" s="0" t="n">
        <v>5</v>
      </c>
      <c r="G35" s="10" t="n">
        <f aca="false">D10*Carrow!$B$14</f>
        <v>1.5</v>
      </c>
    </row>
    <row r="36" customFormat="false" ht="15" hidden="false" customHeight="false" outlineLevel="0" collapsed="false">
      <c r="A36" s="0" t="n">
        <v>6</v>
      </c>
      <c r="B36" s="10" t="n">
        <f aca="false">Wexmoor!H45</f>
        <v>17.7477439000247</v>
      </c>
      <c r="C36" s="10" t="n">
        <f aca="false">Tarnbeck!J65</f>
        <v>13.0462649018377</v>
      </c>
      <c r="D36" s="10" t="n">
        <f aca="false">(D10-SUM(G31:G35))*Carrow!$B$13+G36</f>
        <v>12.9</v>
      </c>
      <c r="F36" s="0" t="n">
        <v>6</v>
      </c>
      <c r="G36" s="10" t="n">
        <f aca="false">D10*Carrow!$B$14</f>
        <v>1.5</v>
      </c>
    </row>
    <row r="37" customFormat="false" ht="15" hidden="false" customHeight="false" outlineLevel="0" collapsed="false">
      <c r="A37" s="0" t="n">
        <v>7</v>
      </c>
      <c r="B37" s="10" t="n">
        <f aca="false">Wexmoor!H46</f>
        <v>18.0626280704854</v>
      </c>
      <c r="C37" s="10" t="n">
        <f aca="false">Tarnbeck!J66</f>
        <v>12.9205528781832</v>
      </c>
      <c r="D37" s="10" t="n">
        <f aca="false">(D10-SUM(G31:G36))*Carrow!$B$13+G37</f>
        <v>152.28</v>
      </c>
      <c r="F37" s="0" t="n">
        <v>7</v>
      </c>
      <c r="G37" s="10" t="n">
        <f aca="false">D10-SUM(G31:G36)</f>
        <v>141</v>
      </c>
    </row>
    <row r="38" customFormat="false" ht="15" hidden="false" customHeight="false" outlineLevel="0" collapsed="false">
      <c r="A38" s="0" t="n">
        <v>8</v>
      </c>
      <c r="B38" s="10" t="n">
        <f aca="false">Wexmoor!H47</f>
        <v>18.3828081566667</v>
      </c>
      <c r="C38" s="10" t="n">
        <f aca="false">Tarnbeck!J67</f>
        <v>12.7916980539373</v>
      </c>
      <c r="D38" s="10" t="n">
        <v>0</v>
      </c>
      <c r="G38" s="10"/>
    </row>
    <row r="39" customFormat="false" ht="15" hidden="false" customHeight="false" outlineLevel="0" collapsed="false">
      <c r="A39" s="0" t="n">
        <v>9</v>
      </c>
      <c r="B39" s="10" t="n">
        <f aca="false">Wexmoor!H48</f>
        <v>18.708365032691</v>
      </c>
      <c r="C39" s="10" t="n">
        <f aca="false">Tarnbeck!J68</f>
        <v>12.6596218590853</v>
      </c>
      <c r="D39" s="10" t="n">
        <v>0</v>
      </c>
      <c r="G39" s="10"/>
    </row>
    <row r="40" customFormat="false" ht="15" hidden="false" customHeight="false" outlineLevel="0" collapsed="false">
      <c r="A40" s="0" t="n">
        <v>10</v>
      </c>
      <c r="B40" s="10" t="n">
        <f aca="false">Wexmoor!H49</f>
        <v>19.039380564058</v>
      </c>
      <c r="C40" s="10" t="n">
        <f aca="false">Tarnbeck!J69</f>
        <v>12.524243759362</v>
      </c>
      <c r="D40" s="10" t="n">
        <v>0</v>
      </c>
      <c r="G40" s="10"/>
    </row>
    <row r="41" customFormat="false" ht="15" hidden="false" customHeight="false" outlineLevel="0" collapsed="false">
      <c r="A41" s="0" t="n">
        <v>11</v>
      </c>
      <c r="B41" s="10" t="n">
        <f aca="false">Wexmoor!H50</f>
        <v>19.3759376118201</v>
      </c>
      <c r="C41" s="10" t="n">
        <f aca="false">Tarnbeck!J70</f>
        <v>12.3854812071456</v>
      </c>
      <c r="D41" s="10" t="n">
        <v>0</v>
      </c>
      <c r="G41" s="10"/>
    </row>
    <row r="42" customFormat="false" ht="15" hidden="false" customHeight="false" outlineLevel="0" collapsed="false">
      <c r="A42" s="0" t="n">
        <v>12</v>
      </c>
      <c r="B42" s="10" t="n">
        <f aca="false">Wexmoor!H51</f>
        <v>19.7181200364496</v>
      </c>
      <c r="C42" s="10" t="n">
        <f aca="false">Tarnbeck!J71</f>
        <v>12.2432495911237</v>
      </c>
      <c r="D42" s="10" t="n">
        <v>0</v>
      </c>
      <c r="G42" s="10"/>
    </row>
    <row r="43" customFormat="false" ht="15" hidden="false" customHeight="false" outlineLevel="0" collapsed="false">
      <c r="A43" s="0" t="n">
        <v>13</v>
      </c>
      <c r="B43" s="10" t="n">
        <f aca="false">Wexmoor!H52</f>
        <v>20.0660127013815</v>
      </c>
      <c r="C43" s="10" t="n">
        <f aca="false">Tarnbeck!J72</f>
        <v>6.48747725251234</v>
      </c>
      <c r="D43" s="10" t="n">
        <v>0</v>
      </c>
      <c r="G43" s="10"/>
    </row>
    <row r="44" customFormat="false" ht="15" hidden="false" customHeight="false" outlineLevel="0" collapsed="false">
      <c r="A44" s="0" t="n">
        <v>14</v>
      </c>
      <c r="B44" s="10" t="n">
        <f aca="false">Wexmoor!H53</f>
        <v>20.419701476217</v>
      </c>
      <c r="C44" s="10" t="n">
        <f aca="false">Tarnbeck!J73</f>
        <v>6.53995978382515</v>
      </c>
      <c r="D44" s="10" t="n">
        <v>0</v>
      </c>
      <c r="G44" s="10"/>
    </row>
    <row r="45" customFormat="false" ht="15" hidden="false" customHeight="false" outlineLevel="0" collapsed="false">
      <c r="A45" s="0" t="n">
        <v>15</v>
      </c>
      <c r="B45" s="10" t="n">
        <f aca="false">Wexmoor!H54</f>
        <v>20.7792732395695</v>
      </c>
      <c r="C45" s="10" t="n">
        <f aca="false">Tarnbeck!J74</f>
        <v>6.59210881242078</v>
      </c>
      <c r="D45" s="10" t="n">
        <v>0</v>
      </c>
      <c r="G45" s="10"/>
    </row>
    <row r="46" customFormat="false" ht="15" hidden="false" customHeight="false" outlineLevel="0" collapsed="false">
      <c r="A46" s="0" t="n">
        <v>16</v>
      </c>
      <c r="B46" s="10" t="n">
        <f aca="false">Wexmoor!H55</f>
        <v>21.1448158815348</v>
      </c>
      <c r="C46" s="10" t="n">
        <f aca="false">Tarnbeck!J75</f>
        <v>6.6438913172413</v>
      </c>
      <c r="D46" s="10" t="n">
        <v>0</v>
      </c>
      <c r="G46" s="10"/>
    </row>
    <row r="47" customFormat="false" ht="15" hidden="false" customHeight="false" outlineLevel="0" collapsed="false">
      <c r="A47" s="0" t="n">
        <v>17</v>
      </c>
      <c r="B47" s="10" t="n">
        <f aca="false">Wexmoor!H56</f>
        <v>21.5164183057686</v>
      </c>
      <c r="C47" s="10" t="n">
        <f aca="false">Tarnbeck!J76</f>
        <v>6.69527308144998</v>
      </c>
      <c r="D47" s="10" t="n">
        <v>0</v>
      </c>
      <c r="G47" s="10"/>
    </row>
    <row r="48" customFormat="false" ht="15" hidden="false" customHeight="false" outlineLevel="0" collapsed="false">
      <c r="A48" s="0" t="n">
        <v>18</v>
      </c>
      <c r="B48" s="10" t="n">
        <f aca="false">Wexmoor!H57</f>
        <v>21.8941704311523</v>
      </c>
      <c r="C48" s="10" t="n">
        <f aca="false">Tarnbeck!J77</f>
        <v>6.74621865698305</v>
      </c>
      <c r="D48" s="10" t="n">
        <v>0</v>
      </c>
      <c r="G48" s="10"/>
    </row>
    <row r="49" customFormat="false" ht="15" hidden="false" customHeight="false" outlineLevel="0" collapsed="false">
      <c r="A49" s="0" t="n">
        <v>19</v>
      </c>
      <c r="B49" s="10" t="n">
        <f aca="false">Wexmoor!H58</f>
        <v>22.2781631930253</v>
      </c>
      <c r="C49" s="10" t="n">
        <f aca="false">Tarnbeck!J78</f>
        <v>0</v>
      </c>
      <c r="D49" s="10" t="n">
        <v>0</v>
      </c>
      <c r="G49" s="10"/>
    </row>
    <row r="50" customFormat="false" ht="15" hidden="false" customHeight="false" outlineLevel="0" collapsed="false">
      <c r="A50" s="0" t="n">
        <v>20</v>
      </c>
      <c r="B50" s="10" t="n">
        <f aca="false">Wexmoor!H59</f>
        <v>22.6684885439671</v>
      </c>
      <c r="C50" s="10" t="n">
        <f aca="false">Tarnbeck!J79</f>
        <v>0</v>
      </c>
      <c r="D50" s="10" t="n">
        <v>0</v>
      </c>
      <c r="G50" s="10"/>
    </row>
    <row r="51" customFormat="false" ht="15" hidden="false" customHeight="false" outlineLevel="0" collapsed="false">
      <c r="A51" s="0" t="n">
        <v>21</v>
      </c>
      <c r="B51" s="10" t="n">
        <f aca="false">Wexmoor!H60</f>
        <v>23.0652394541047</v>
      </c>
      <c r="C51" s="10" t="n">
        <f aca="false">Tarnbeck!J80</f>
        <v>0</v>
      </c>
      <c r="D51" s="10" t="n">
        <v>0</v>
      </c>
      <c r="G51" s="10"/>
    </row>
    <row r="52" customFormat="false" ht="15" hidden="false" customHeight="false" outlineLevel="0" collapsed="false">
      <c r="A52" s="0" t="n">
        <v>22</v>
      </c>
      <c r="B52" s="10" t="n">
        <f aca="false">Wexmoor!H61</f>
        <v>23.4685099109265</v>
      </c>
      <c r="C52" s="10" t="n">
        <f aca="false">Tarnbeck!J81</f>
        <v>0</v>
      </c>
      <c r="D52" s="10" t="n">
        <v>0</v>
      </c>
      <c r="G52" s="10"/>
    </row>
    <row r="53" customFormat="false" ht="15" hidden="false" customHeight="false" outlineLevel="0" collapsed="false">
      <c r="A53" s="0" t="n">
        <v>23</v>
      </c>
      <c r="B53" s="10" t="n">
        <f aca="false">Wexmoor!H62</f>
        <v>23.8783949185782</v>
      </c>
      <c r="C53" s="10" t="n">
        <f aca="false">Tarnbeck!J82</f>
        <v>0</v>
      </c>
      <c r="D53" s="10" t="n">
        <v>0</v>
      </c>
      <c r="G53" s="10"/>
    </row>
    <row r="54" customFormat="false" ht="15" hidden="false" customHeight="false" outlineLevel="0" collapsed="false">
      <c r="A54" s="0" t="n">
        <v>24</v>
      </c>
      <c r="B54" s="10" t="n">
        <f aca="false">Wexmoor!H63</f>
        <v>0</v>
      </c>
      <c r="C54" s="10" t="n">
        <f aca="false">Tarnbeck!J83</f>
        <v>0</v>
      </c>
      <c r="D54" s="10" t="n">
        <v>0</v>
      </c>
      <c r="G54" s="10"/>
    </row>
    <row r="55" customFormat="false" ht="15" hidden="false" customHeight="false" outlineLevel="0" collapsed="false">
      <c r="A55" s="0" t="n">
        <v>25</v>
      </c>
      <c r="B55" s="10" t="n">
        <f aca="false">Wexmoor!H64</f>
        <v>0</v>
      </c>
      <c r="C55" s="10" t="n">
        <f aca="false">Tarnbeck!J84</f>
        <v>0</v>
      </c>
      <c r="D55" s="10" t="n">
        <v>0</v>
      </c>
      <c r="G55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</cols>
  <sheetData>
    <row r="1" customFormat="false" ht="16.15" hidden="false" customHeight="false" outlineLevel="0" collapsed="false">
      <c r="A1" s="2" t="s">
        <v>253</v>
      </c>
    </row>
    <row r="3" customFormat="false" ht="15" hidden="false" customHeight="false" outlineLevel="0" collapsed="false">
      <c r="A3" s="0" t="s">
        <v>254</v>
      </c>
      <c r="B3" s="4" t="n">
        <v>800</v>
      </c>
    </row>
    <row r="4" customFormat="false" ht="15" hidden="false" customHeight="false" outlineLevel="0" collapsed="false">
      <c r="A4" s="0" t="s">
        <v>255</v>
      </c>
      <c r="B4" s="5" t="n">
        <v>0.95</v>
      </c>
    </row>
    <row r="5" customFormat="false" ht="15" hidden="false" customHeight="false" outlineLevel="0" collapsed="false">
      <c r="A5" s="0" t="s">
        <v>256</v>
      </c>
      <c r="B5" s="5" t="n">
        <v>0.005</v>
      </c>
    </row>
    <row r="6" customFormat="false" ht="15" hidden="false" customHeight="false" outlineLevel="0" collapsed="false">
      <c r="A6" s="0" t="s">
        <v>257</v>
      </c>
      <c r="B6" s="5" t="n">
        <v>0.001</v>
      </c>
    </row>
    <row r="7" customFormat="false" ht="15" hidden="false" customHeight="false" outlineLevel="0" collapsed="false">
      <c r="A7" s="0" t="s">
        <v>258</v>
      </c>
      <c r="B7" s="5" t="n">
        <v>0.4</v>
      </c>
    </row>
    <row r="8" customFormat="false" ht="15" hidden="false" customHeight="false" outlineLevel="0" collapsed="false">
      <c r="A8" s="0" t="s">
        <v>259</v>
      </c>
      <c r="B8" s="5" t="n">
        <v>0.35</v>
      </c>
    </row>
    <row r="9" customFormat="false" ht="15" hidden="false" customHeight="false" outlineLevel="0" collapsed="false">
      <c r="A9" s="0" t="s">
        <v>260</v>
      </c>
      <c r="B9" s="5" t="n">
        <v>0.25</v>
      </c>
    </row>
    <row r="10" customFormat="false" ht="15" hidden="false" customHeight="false" outlineLevel="0" collapsed="false">
      <c r="A10" s="0" t="s">
        <v>261</v>
      </c>
      <c r="B10" s="5" t="n">
        <v>0.1</v>
      </c>
    </row>
    <row r="12" customFormat="false" ht="15" hidden="false" customHeight="false" outlineLevel="0" collapsed="false">
      <c r="A12" s="9" t="s">
        <v>262</v>
      </c>
      <c r="B12" s="17" t="n">
        <f aca="false">$B$7*Pricing!B11+$B$8*Pricing!C11+$B$9*Pricing!D11</f>
        <v>0.0633316863623696</v>
      </c>
    </row>
    <row r="13" customFormat="false" ht="15" hidden="false" customHeight="false" outlineLevel="0" collapsed="false">
      <c r="A13" s="9" t="s">
        <v>263</v>
      </c>
      <c r="B13" s="22" t="n">
        <f aca="false">$B$7*Pricing!B15+$B$8*Pricing!C15+$B$9*Pricing!D15</f>
        <v>0.00403</v>
      </c>
    </row>
    <row r="14" customFormat="false" ht="15" hidden="false" customHeight="false" outlineLevel="0" collapsed="false">
      <c r="A14" s="9" t="s">
        <v>264</v>
      </c>
      <c r="B14" s="17" t="n">
        <f aca="false">B12-B13</f>
        <v>0.0593016863623696</v>
      </c>
    </row>
    <row r="15" customFormat="false" ht="15" hidden="false" customHeight="false" outlineLevel="0" collapsed="false">
      <c r="A15" s="9" t="s">
        <v>265</v>
      </c>
      <c r="B15" s="17" t="n">
        <f aca="false">B14*$B$4-($B$5+$B$6)*$B$4</f>
        <v>0.0506366020442511</v>
      </c>
    </row>
    <row r="16" customFormat="false" ht="15" hidden="false" customHeight="false" outlineLevel="0" collapsed="false">
      <c r="A16" s="9" t="s">
        <v>266</v>
      </c>
      <c r="B16" s="13" t="n">
        <f aca="false">$B$7*Pricing!B12+$B$8*Pricing!C12+$B$9*Pricing!D12</f>
        <v>11.1296927529452</v>
      </c>
    </row>
    <row r="17" customFormat="false" ht="15" hidden="false" customHeight="false" outlineLevel="0" collapsed="false">
      <c r="A17" s="9" t="s">
        <v>267</v>
      </c>
      <c r="B17" s="17" t="n">
        <f aca="false">$B$7*Pricing!B5+$B$8*Pricing!C5+$B$9*Pricing!D5</f>
        <v>0.023625</v>
      </c>
    </row>
    <row r="18" customFormat="false" ht="15" hidden="false" customHeight="false" outlineLevel="0" collapsed="false">
      <c r="A18" s="9" t="s">
        <v>268</v>
      </c>
      <c r="B18" s="0" t="str">
        <f aca="false">TEXT($B$3*$B$4*$B$7,"0")&amp;" / "&amp;TEXT($B$3*$B$4*$B$8,"0")&amp;" / "&amp;TEXT($B$3*$B$4*$B$9,"0")</f>
        <v>304 / 266 / 190</v>
      </c>
    </row>
    <row r="19" customFormat="false" ht="15" hidden="false" customHeight="false" outlineLevel="0" collapsed="false">
      <c r="A19" s="9" t="s">
        <v>269</v>
      </c>
      <c r="B19" s="24" t="n">
        <f aca="false">ROUNDUP($B$3*$B$4*$B$7/($B$10*$B$3),0)+ROUNDUP($B$3*$B$4*$B$8/($B$10*$B$3),0)+ROUNDUP($B$3*$B$4*$B$9/($B$10*$B$3),0)</f>
        <v>11</v>
      </c>
    </row>
    <row r="20" customFormat="false" ht="15" hidden="false" customHeight="false" outlineLevel="0" collapsed="false">
      <c r="A20" s="9" t="s">
        <v>270</v>
      </c>
      <c r="B20" s="17" t="n">
        <f aca="false">(B12-($B$7*Pricing!B15+$B$8*Pricing!C15+$B$9*Pricing!D18*Pricing!D8))*$B$4-($B$5+$B$6)*$B$4</f>
        <v>0.0458284809396456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</cols>
  <sheetData>
    <row r="1" customFormat="false" ht="16.15" hidden="false" customHeight="false" outlineLevel="0" collapsed="false">
      <c r="A1" s="2" t="s">
        <v>271</v>
      </c>
    </row>
    <row r="3" customFormat="false" ht="15" hidden="false" customHeight="false" outlineLevel="0" collapsed="false">
      <c r="A3" s="0" t="s">
        <v>272</v>
      </c>
      <c r="B3" s="4" t="n">
        <v>12</v>
      </c>
    </row>
    <row r="4" customFormat="false" ht="15" hidden="false" customHeight="false" outlineLevel="0" collapsed="false">
      <c r="A4" s="0" t="s">
        <v>273</v>
      </c>
      <c r="B4" s="6" t="n">
        <v>15</v>
      </c>
    </row>
    <row r="5" customFormat="false" ht="15" hidden="false" customHeight="false" outlineLevel="0" collapsed="false">
      <c r="A5" s="0" t="s">
        <v>274</v>
      </c>
      <c r="B5" s="5" t="n">
        <v>0.06</v>
      </c>
    </row>
    <row r="6" customFormat="false" ht="15" hidden="false" customHeight="false" outlineLevel="0" collapsed="false">
      <c r="A6" s="0" t="s">
        <v>275</v>
      </c>
      <c r="B6" s="7" t="n">
        <v>1.3</v>
      </c>
    </row>
    <row r="7" customFormat="false" ht="15" hidden="false" customHeight="false" outlineLevel="0" collapsed="false">
      <c r="A7" s="0" t="s">
        <v>123</v>
      </c>
      <c r="B7" s="4" t="n">
        <v>100</v>
      </c>
    </row>
    <row r="8" customFormat="false" ht="15" hidden="false" customHeight="false" outlineLevel="0" collapsed="false">
      <c r="A8" s="0" t="s">
        <v>124</v>
      </c>
      <c r="B8" s="5" t="n">
        <v>0.8</v>
      </c>
    </row>
    <row r="10" customFormat="false" ht="15" hidden="false" customHeight="false" outlineLevel="0" collapsed="false">
      <c r="A10" s="9" t="s">
        <v>276</v>
      </c>
      <c r="B10" s="12" t="n">
        <f aca="false">(1-(1+$B$5)^-$B$4)/$B$5</f>
        <v>9.71224898774099</v>
      </c>
    </row>
    <row r="11" customFormat="false" ht="15" hidden="false" customHeight="false" outlineLevel="0" collapsed="false">
      <c r="A11" s="9" t="s">
        <v>277</v>
      </c>
      <c r="B11" s="25" t="n">
        <f aca="false">$B$3/$B$6</f>
        <v>9.23076923076923</v>
      </c>
    </row>
    <row r="12" customFormat="false" ht="15" hidden="false" customHeight="false" outlineLevel="0" collapsed="false">
      <c r="A12" s="9" t="s">
        <v>47</v>
      </c>
      <c r="B12" s="10" t="n">
        <f aca="false">B11*$B$10</f>
        <v>89.6515291176091</v>
      </c>
    </row>
    <row r="13" customFormat="false" ht="15" hidden="false" customHeight="false" outlineLevel="0" collapsed="false">
      <c r="A13" s="9" t="s">
        <v>49</v>
      </c>
      <c r="B13" s="10" t="n">
        <f aca="false">$B$8*$B$7</f>
        <v>80</v>
      </c>
    </row>
    <row r="14" customFormat="false" ht="15" hidden="false" customHeight="false" outlineLevel="0" collapsed="false">
      <c r="A14" s="9" t="s">
        <v>278</v>
      </c>
      <c r="B14" s="10" t="n">
        <f aca="false">MIN(B12,B13)</f>
        <v>80</v>
      </c>
    </row>
    <row r="15" customFormat="false" ht="15" hidden="false" customHeight="false" outlineLevel="0" collapsed="false">
      <c r="A15" s="9" t="s">
        <v>55</v>
      </c>
      <c r="B15" s="0" t="str">
        <f aca="false">IF(B12&lt;=B13,"DSCR","gearing")</f>
        <v>gearing</v>
      </c>
    </row>
    <row r="16" customFormat="false" ht="15" hidden="false" customHeight="false" outlineLevel="0" collapsed="false">
      <c r="A16" s="9" t="s">
        <v>279</v>
      </c>
      <c r="B16" s="25" t="n">
        <f aca="false">$B$14/$B$10</f>
        <v>8.23702111642501</v>
      </c>
    </row>
    <row r="17" customFormat="false" ht="15" hidden="false" customHeight="false" outlineLevel="0" collapsed="false">
      <c r="A17" s="9" t="s">
        <v>280</v>
      </c>
      <c r="B17" s="15" t="n">
        <f aca="false">$B$3/B16</f>
        <v>1.45683734816115</v>
      </c>
    </row>
    <row r="18" customFormat="false" ht="15" hidden="false" customHeight="false" outlineLevel="0" collapsed="false">
      <c r="A18" s="9" t="s">
        <v>281</v>
      </c>
      <c r="B18" s="14" t="n">
        <f aca="false">1-B16/B3</f>
        <v>0.313581573631249</v>
      </c>
    </row>
    <row r="19" customFormat="false" ht="15" hidden="false" customHeight="false" outlineLevel="0" collapsed="false">
      <c r="A19" s="9" t="s">
        <v>282</v>
      </c>
      <c r="B19" s="10" t="n">
        <f aca="false">B14*$B$5</f>
        <v>4.8</v>
      </c>
    </row>
    <row r="20" customFormat="false" ht="15" hidden="false" customHeight="false" outlineLevel="0" collapsed="false">
      <c r="A20" s="9" t="s">
        <v>283</v>
      </c>
      <c r="B20" s="10" t="n">
        <f aca="false">B16-B19</f>
        <v>3.43702111642501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3" min="2" style="0" width="14"/>
    <col collapsed="false" customWidth="true" hidden="false" outlineLevel="0" max="4" min="4" style="0" width="10"/>
  </cols>
  <sheetData>
    <row r="1" customFormat="false" ht="16.15" hidden="false" customHeight="false" outlineLevel="0" collapsed="false">
      <c r="A1" s="2" t="s">
        <v>284</v>
      </c>
    </row>
    <row r="3" customFormat="false" ht="15" hidden="false" customHeight="false" outlineLevel="0" collapsed="false">
      <c r="A3" s="16" t="s">
        <v>285</v>
      </c>
      <c r="B3" s="16" t="s">
        <v>286</v>
      </c>
      <c r="C3" s="16" t="s">
        <v>287</v>
      </c>
      <c r="D3" s="16" t="s">
        <v>288</v>
      </c>
    </row>
    <row r="4" customFormat="false" ht="15" hidden="false" customHeight="false" outlineLevel="0" collapsed="false">
      <c r="A4" s="0" t="s">
        <v>289</v>
      </c>
      <c r="B4" s="0" t="n">
        <v>251.5</v>
      </c>
      <c r="C4" s="10" t="n">
        <f aca="false">Wexmoor!$B$26</f>
        <v>251.504626459415</v>
      </c>
      <c r="D4" s="0" t="str">
        <f aca="false">IF(ABS(C4-B4)&lt;=0.006,"OK","DIFF")</f>
        <v>OK</v>
      </c>
    </row>
    <row r="5" customFormat="false" ht="15" hidden="false" customHeight="false" outlineLevel="0" collapsed="false">
      <c r="A5" s="0" t="s">
        <v>290</v>
      </c>
      <c r="B5" s="0" t="n">
        <v>16.25</v>
      </c>
      <c r="C5" s="10" t="n">
        <f aca="false">Wexmoor!H40</f>
        <v>16.25</v>
      </c>
      <c r="D5" s="0" t="str">
        <f aca="false">IF(ABS(C5-B5)&lt;=0.006,"OK","DIFF")</f>
        <v>OK</v>
      </c>
    </row>
    <row r="6" customFormat="false" ht="15" hidden="false" customHeight="false" outlineLevel="0" collapsed="false">
      <c r="A6" s="0" t="s">
        <v>291</v>
      </c>
      <c r="B6" s="0" t="n">
        <v>8.12</v>
      </c>
      <c r="C6" s="10" t="n">
        <f aca="false">Wexmoor!B31</f>
        <v>8.125</v>
      </c>
      <c r="D6" s="0" t="str">
        <f aca="false">IF(ABS(C6-B6)&lt;=0.006,"OK","DIFF")</f>
        <v>OK</v>
      </c>
    </row>
    <row r="7" customFormat="false" ht="15" hidden="false" customHeight="false" outlineLevel="0" collapsed="false">
      <c r="A7" s="0" t="s">
        <v>292</v>
      </c>
      <c r="B7" s="0" t="n">
        <v>1.267</v>
      </c>
      <c r="C7" s="15" t="n">
        <f aca="false">Wexmoor!B33</f>
        <v>1.26676587456602</v>
      </c>
      <c r="D7" s="0" t="str">
        <f aca="false">IF(ABS(C7-B7)&lt;=0.0006,"OK","DIFF")</f>
        <v>OK</v>
      </c>
    </row>
    <row r="8" customFormat="false" ht="15" hidden="false" customHeight="false" outlineLevel="0" collapsed="false">
      <c r="A8" s="0" t="s">
        <v>293</v>
      </c>
      <c r="B8" s="0" t="n">
        <v>15.52</v>
      </c>
      <c r="C8" s="13" t="n">
        <f aca="false">Wexmoor!B34</f>
        <v>15.5183983691413</v>
      </c>
      <c r="D8" s="0" t="str">
        <f aca="false">IF(ABS(C8-B8)&lt;=0.006,"OK","DIFF")</f>
        <v>OK</v>
      </c>
    </row>
    <row r="9" customFormat="false" ht="15" hidden="false" customHeight="false" outlineLevel="0" collapsed="false">
      <c r="A9" s="0" t="s">
        <v>294</v>
      </c>
      <c r="B9" s="0" t="n">
        <v>1.12</v>
      </c>
      <c r="C9" s="15" t="n">
        <f aca="false">Wex_Stresses!F5</f>
        <v>1.12429767689064</v>
      </c>
      <c r="D9" s="0" t="str">
        <f aca="false">IF(ABS(C9-B9)&lt;=0.006,"OK","DIFF")</f>
        <v>OK</v>
      </c>
    </row>
    <row r="10" customFormat="false" ht="15" hidden="false" customHeight="false" outlineLevel="0" collapsed="false">
      <c r="A10" s="0" t="s">
        <v>295</v>
      </c>
      <c r="B10" s="0" t="n">
        <v>0.97</v>
      </c>
      <c r="C10" s="15" t="n">
        <f aca="false">Wex_Stresses!F9</f>
        <v>0.965632435057029</v>
      </c>
      <c r="D10" s="0" t="str">
        <f aca="false">IF(ABS(C10-B10)&lt;=0.006,"OK","DIFF")</f>
        <v>OK</v>
      </c>
    </row>
    <row r="11" customFormat="false" ht="15" hidden="false" customHeight="false" outlineLevel="0" collapsed="false">
      <c r="A11" s="0" t="s">
        <v>296</v>
      </c>
      <c r="B11" s="0" t="n">
        <v>0.396</v>
      </c>
      <c r="C11" s="17" t="n">
        <f aca="false">Wex_Stresses!B15</f>
        <v>0.396289027440571</v>
      </c>
      <c r="D11" s="0" t="str">
        <f aca="false">IF(ABS(C11-B11)&lt;=0.0006,"OK","DIFF")</f>
        <v>OK</v>
      </c>
    </row>
    <row r="12" customFormat="false" ht="15" hidden="false" customHeight="false" outlineLevel="0" collapsed="false">
      <c r="A12" s="0" t="s">
        <v>297</v>
      </c>
      <c r="B12" s="0" t="n">
        <v>0.1103</v>
      </c>
      <c r="C12" s="17" t="n">
        <f aca="false">Wex_Stresses!B17</f>
        <v>0.110324842511371</v>
      </c>
      <c r="D12" s="0" t="str">
        <f aca="false">IF(ABS(C12-B12)&lt;=0.00006,"OK","DIFF")</f>
        <v>OK</v>
      </c>
    </row>
    <row r="13" customFormat="false" ht="15" hidden="false" customHeight="false" outlineLevel="0" collapsed="false">
      <c r="A13" s="0" t="s">
        <v>298</v>
      </c>
      <c r="B13" s="0" t="n">
        <v>446.76</v>
      </c>
      <c r="C13" s="13" t="n">
        <f aca="false">Tarnbeck!B28</f>
        <v>446.76</v>
      </c>
      <c r="D13" s="0" t="str">
        <f aca="false">IF(ABS(C13-B13)&lt;=0.006,"OK","DIFF")</f>
        <v>OK</v>
      </c>
    </row>
    <row r="14" customFormat="false" ht="15" hidden="false" customHeight="false" outlineLevel="0" collapsed="false">
      <c r="A14" s="0" t="s">
        <v>299</v>
      </c>
      <c r="B14" s="0" t="n">
        <v>406.68</v>
      </c>
      <c r="C14" s="13" t="n">
        <f aca="false">Tarnbeck!B29</f>
        <v>406.681781580411</v>
      </c>
      <c r="D14" s="0" t="str">
        <f aca="false">IF(ABS(C14-B14)&lt;=0.006,"OK","DIFF")</f>
        <v>OK</v>
      </c>
    </row>
    <row r="15" customFormat="false" ht="15" hidden="false" customHeight="false" outlineLevel="0" collapsed="false">
      <c r="A15" s="0" t="s">
        <v>300</v>
      </c>
      <c r="B15" s="0" t="n">
        <v>127.66</v>
      </c>
      <c r="C15" s="10" t="n">
        <f aca="false">Tarnbeck!$B$36</f>
        <v>127.656601305672</v>
      </c>
      <c r="D15" s="0" t="str">
        <f aca="false">IF(ABS(C15-B15)&lt;=0.006,"OK","DIFF")</f>
        <v>OK</v>
      </c>
    </row>
    <row r="16" customFormat="false" ht="15" hidden="false" customHeight="false" outlineLevel="0" collapsed="false">
      <c r="A16" s="0" t="s">
        <v>301</v>
      </c>
      <c r="B16" s="0" t="n">
        <v>32.76</v>
      </c>
      <c r="C16" s="10" t="n">
        <f aca="false">Tarnbeck!B39</f>
        <v>32.7557506247953</v>
      </c>
      <c r="D16" s="0" t="str">
        <f aca="false">IF(ABS(C16-B16)&lt;=0.006,"OK","DIFF")</f>
        <v>OK</v>
      </c>
    </row>
    <row r="17" customFormat="false" ht="15" hidden="false" customHeight="false" outlineLevel="0" collapsed="false">
      <c r="A17" s="0" t="s">
        <v>302</v>
      </c>
      <c r="B17" s="0" t="n">
        <v>6.82</v>
      </c>
      <c r="C17" s="10" t="n">
        <f aca="false">Tarnbeck!B40</f>
        <v>6.8151507017869</v>
      </c>
      <c r="D17" s="0" t="str">
        <f aca="false">IF(ABS(C17-B17)&lt;=0.006,"OK","DIFF")</f>
        <v>OK</v>
      </c>
    </row>
    <row r="18" customFormat="false" ht="15" hidden="false" customHeight="false" outlineLevel="0" collapsed="false">
      <c r="A18" s="0" t="s">
        <v>303</v>
      </c>
      <c r="B18" s="0" t="n">
        <v>32.99</v>
      </c>
      <c r="C18" s="13" t="n">
        <f aca="false">Tarnbeck!B49</f>
        <v>32.986378143453</v>
      </c>
      <c r="D18" s="0" t="str">
        <f aca="false">IF(ABS(C18-B18)&lt;=0.006,"OK","DIFF")</f>
        <v>OK</v>
      </c>
    </row>
    <row r="19" customFormat="false" ht="15" hidden="false" customHeight="false" outlineLevel="0" collapsed="false">
      <c r="A19" s="0" t="s">
        <v>304</v>
      </c>
      <c r="B19" s="0" t="n">
        <v>36.24</v>
      </c>
      <c r="C19" s="13" t="n">
        <f aca="false">Tarnbeck!B52</f>
        <v>36.237163715816</v>
      </c>
      <c r="D19" s="0" t="str">
        <f aca="false">IF(ABS(C19-B19)&lt;=0.006,"OK","DIFF")</f>
        <v>OK</v>
      </c>
    </row>
    <row r="20" customFormat="false" ht="15" hidden="false" customHeight="false" outlineLevel="0" collapsed="false">
      <c r="A20" s="0" t="s">
        <v>305</v>
      </c>
      <c r="B20" s="0" t="n">
        <v>32.1</v>
      </c>
      <c r="C20" s="10" t="n">
        <f aca="false">Carrow!$B$26</f>
        <v>32.0970348762765</v>
      </c>
      <c r="D20" s="0" t="str">
        <f aca="false">IF(ABS(C20-B20)&lt;=0.006,"OK","DIFF")</f>
        <v>OK</v>
      </c>
    </row>
    <row r="21" customFormat="false" ht="15" hidden="false" customHeight="false" outlineLevel="0" collapsed="false">
      <c r="A21" s="0" t="s">
        <v>306</v>
      </c>
      <c r="B21" s="0" t="n">
        <v>1.83</v>
      </c>
      <c r="C21" s="15" t="n">
        <f aca="false">Carrow!B28</f>
        <v>1.82524709364362</v>
      </c>
      <c r="D21" s="0" t="str">
        <f aca="false">IF(ABS(C21-B21)&lt;=0.006,"OK","DIFF")</f>
        <v>OK</v>
      </c>
    </row>
    <row r="22" customFormat="false" ht="15" hidden="false" customHeight="false" outlineLevel="0" collapsed="false">
      <c r="A22" s="0" t="s">
        <v>307</v>
      </c>
      <c r="B22" s="0" t="n">
        <v>406.4</v>
      </c>
      <c r="C22" s="10" t="n">
        <f aca="false">Carrow!$B$30</f>
        <v>406.428646932739</v>
      </c>
      <c r="D22" s="0" t="str">
        <f aca="false">IF(ABS(C22-B22)&lt;=0.06,"OK","DIFF")</f>
        <v>OK</v>
      </c>
    </row>
    <row r="23" customFormat="false" ht="15" hidden="false" customHeight="false" outlineLevel="0" collapsed="false">
      <c r="A23" s="0" t="s">
        <v>308</v>
      </c>
      <c r="B23" s="0" t="n">
        <v>0.369</v>
      </c>
      <c r="C23" s="14" t="n">
        <f aca="false">Carrow!B31</f>
        <v>0.369068472736922</v>
      </c>
      <c r="D23" s="0" t="str">
        <f aca="false">IF(ABS(C23-B23)&lt;=0.0006,"OK","DIFF")</f>
        <v>OK</v>
      </c>
    </row>
    <row r="24" customFormat="false" ht="15" hidden="false" customHeight="false" outlineLevel="0" collapsed="false">
      <c r="A24" s="0" t="s">
        <v>309</v>
      </c>
      <c r="B24" s="0" t="n">
        <v>0.065</v>
      </c>
      <c r="C24" s="14" t="n">
        <f aca="false">Carrow!B38</f>
        <v>0.0650494187287246</v>
      </c>
      <c r="D24" s="0" t="str">
        <f aca="false">IF(ABS(C24-B24)&lt;=0.0006,"OK","DIFF")</f>
        <v>OK</v>
      </c>
    </row>
    <row r="25" customFormat="false" ht="15" hidden="false" customHeight="false" outlineLevel="0" collapsed="false">
      <c r="A25" s="0" t="s">
        <v>310</v>
      </c>
      <c r="B25" s="0" t="n">
        <v>0.285</v>
      </c>
      <c r="C25" s="14" t="n">
        <f aca="false">Carrow!B40</f>
        <v>0.284806831538033</v>
      </c>
      <c r="D25" s="0" t="str">
        <f aca="false">IF(ABS(C25-B25)&lt;=0.0006,"OK","DIFF")</f>
        <v>OK</v>
      </c>
    </row>
    <row r="26" customFormat="false" ht="15" hidden="false" customHeight="false" outlineLevel="0" collapsed="false">
      <c r="A26" s="0" t="s">
        <v>311</v>
      </c>
      <c r="B26" s="0" t="n">
        <v>0.0535</v>
      </c>
      <c r="C26" s="22" t="n">
        <f aca="false">Pricing!B11</f>
        <v>0.0535066564362726</v>
      </c>
      <c r="D26" s="0" t="str">
        <f aca="false">IF(ABS(C26-B26)&lt;=0.00006,"OK","DIFF")</f>
        <v>OK</v>
      </c>
    </row>
    <row r="27" customFormat="false" ht="15" hidden="false" customHeight="false" outlineLevel="0" collapsed="false">
      <c r="A27" s="0" t="s">
        <v>312</v>
      </c>
      <c r="B27" s="0" t="n">
        <v>0.0598</v>
      </c>
      <c r="C27" s="22" t="n">
        <f aca="false">Pricing!C11</f>
        <v>0.0597962273390896</v>
      </c>
      <c r="D27" s="0" t="str">
        <f aca="false">IF(ABS(C27-B27)&lt;=0.00006,"OK","DIFF")</f>
        <v>OK</v>
      </c>
    </row>
    <row r="28" customFormat="false" ht="15" hidden="false" customHeight="false" outlineLevel="0" collapsed="false">
      <c r="A28" s="0" t="s">
        <v>313</v>
      </c>
      <c r="B28" s="0" t="n">
        <v>0.084</v>
      </c>
      <c r="C28" s="22" t="n">
        <f aca="false">Pricing!D11</f>
        <v>0.0840013768767167</v>
      </c>
      <c r="D28" s="0" t="str">
        <f aca="false">IF(ABS(C28-B28)&lt;=0.00006,"OK","DIFF")</f>
        <v>OK</v>
      </c>
    </row>
    <row r="29" customFormat="false" ht="15" hidden="false" customHeight="false" outlineLevel="0" collapsed="false">
      <c r="A29" s="0" t="s">
        <v>314</v>
      </c>
      <c r="B29" s="0" t="n">
        <v>0.0568</v>
      </c>
      <c r="C29" s="22" t="n">
        <f aca="false">Pricing!D18</f>
        <v>0.0568085826189892</v>
      </c>
      <c r="D29" s="0" t="str">
        <f aca="false">IF(ABS(C29-B29)&lt;=0.00006,"OK","DIFF")</f>
        <v>OK</v>
      </c>
    </row>
    <row r="30" customFormat="false" ht="15" hidden="false" customHeight="false" outlineLevel="0" collapsed="false">
      <c r="A30" s="0" t="s">
        <v>315</v>
      </c>
      <c r="B30" s="0" t="n">
        <v>0.0633</v>
      </c>
      <c r="C30" s="17" t="n">
        <f aca="false">Fund!B12</f>
        <v>0.0633316863623696</v>
      </c>
      <c r="D30" s="0" t="str">
        <f aca="false">IF(ABS(C30-B30)&lt;=0.00006,"OK","DIFF")</f>
        <v>OK</v>
      </c>
    </row>
    <row r="31" customFormat="false" ht="15" hidden="false" customHeight="false" outlineLevel="0" collapsed="false">
      <c r="A31" s="0" t="s">
        <v>316</v>
      </c>
      <c r="B31" s="0" t="n">
        <v>0.0506</v>
      </c>
      <c r="C31" s="17" t="n">
        <f aca="false">Fund!B15</f>
        <v>0.0506366020442511</v>
      </c>
      <c r="D31" s="0" t="str">
        <f aca="false">IF(ABS(C31-B31)&lt;=0.00006,"OK","DIFF")</f>
        <v>OK</v>
      </c>
    </row>
    <row r="32" customFormat="false" ht="15" hidden="false" customHeight="false" outlineLevel="0" collapsed="false">
      <c r="A32" s="0" t="s">
        <v>317</v>
      </c>
      <c r="B32" s="0" t="n">
        <v>89.65</v>
      </c>
      <c r="C32" s="10" t="n">
        <f aca="false">Interview!B12</f>
        <v>89.6515291176091</v>
      </c>
      <c r="D32" s="0" t="str">
        <f aca="false">IF(ABS(C32-B32)&lt;=0.006,"OK","DIFF")</f>
        <v>OK</v>
      </c>
    </row>
    <row r="33" customFormat="false" ht="15" hidden="false" customHeight="false" outlineLevel="0" collapsed="false">
      <c r="A33" s="0" t="s">
        <v>318</v>
      </c>
      <c r="B33" s="0" t="n">
        <v>136.89</v>
      </c>
      <c r="C33" s="10" t="n">
        <f aca="false">Carrow!B43</f>
        <v>136.893532023272</v>
      </c>
      <c r="D33" s="0" t="str">
        <f aca="false">IF(ABS(C33-B33)&lt;=0.006,"OK","DIFF")</f>
        <v>OK</v>
      </c>
    </row>
    <row r="34" customFormat="false" ht="15" hidden="false" customHeight="false" outlineLevel="0" collapsed="false">
      <c r="A34" s="0" t="s">
        <v>319</v>
      </c>
      <c r="B34" s="0" t="n">
        <v>92.3</v>
      </c>
      <c r="C34" s="13" t="n">
        <f aca="false">Wexmoor!F28</f>
        <v>92.2995652464647</v>
      </c>
      <c r="D34" s="0" t="str">
        <f aca="false">IF(ABS(C34-B34)&lt;=0.006,"OK","DIFF")</f>
        <v>OK</v>
      </c>
    </row>
    <row r="35" customFormat="false" ht="15" hidden="false" customHeight="false" outlineLevel="0" collapsed="false">
      <c r="A35" s="0" t="s">
        <v>320</v>
      </c>
      <c r="B35" s="0" t="n">
        <v>1.457</v>
      </c>
      <c r="C35" s="15" t="n">
        <f aca="false">Interview!B17</f>
        <v>1.45683734816115</v>
      </c>
      <c r="D35" s="0" t="str">
        <f aca="false">IF(ABS(C35-B35)&lt;=0.0006,"OK","DIFF")</f>
        <v>OK</v>
      </c>
    </row>
    <row r="37" customFormat="false" ht="15" hidden="false" customHeight="false" outlineLevel="0" collapsed="false">
      <c r="A37" s="3" t="s">
        <v>321</v>
      </c>
      <c r="D37" s="3" t="str">
        <f aca="false">IF(COUNTIF(D4:D35,"OK")=32,"ALL CHECKS OK","SEE DIFF")</f>
        <v>ALL CHECKS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2026-10-07T21:36:21Z</dcterms:created>
  <dc:creator>openpyxl</dc:creator>
  <dc:description/>
  <dc:language>en-US</dc:language>
  <cp:lastModifiedBy/>
  <dcterms:modified xsi:type="dcterms:W3CDTF">2026-10-07T21:36:21Z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